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7329"/>
  <workbookPr showInkAnnotation="0" defaultThemeVersion="153222"/>
  <mc:AlternateContent xmlns:mc="http://schemas.openxmlformats.org/markup-compatibility/2006">
    <mc:Choice Requires="x15">
      <x15ac:absPath xmlns:x15ac="http://schemas.microsoft.com/office/spreadsheetml/2010/11/ac" url="W:\QUOTES\"/>
    </mc:Choice>
  </mc:AlternateContent>
  <bookViews>
    <workbookView xWindow="0" yWindow="0" windowWidth="25170" windowHeight="10950" activeTab="1"/>
  </bookViews>
  <sheets>
    <sheet name="Consumer" sheetId="1" r:id="rId1"/>
    <sheet name="Commercial" sheetId="4" r:id="rId2"/>
    <sheet name="Original (2)" sheetId="3" state="hidden" r:id="rId3"/>
    <sheet name="Figures for JV" sheetId="2" state="hidden" r:id="rId4"/>
  </sheets>
  <definedNames>
    <definedName name="Brok1">Commercial!$AJ$3</definedName>
    <definedName name="Brok2">Commercial!$AJ$5</definedName>
    <definedName name="Brok3">Commercial!$AJ$7</definedName>
    <definedName name="Brok4">Commercial!$AJ$8</definedName>
    <definedName name="Credit_term__months">Commercial!$D$28+Commercial!$AO$3:$AO$7+Commercial!$AO$3:$AO$7</definedName>
    <definedName name="FinancePeriod" localSheetId="1">Commercial!$AO$3:$AO$6</definedName>
    <definedName name="FinancePeriod" localSheetId="3">'Figures for JV'!$AQ$1:$AQ$4</definedName>
    <definedName name="FinancePeriod" localSheetId="2">'Original (2)'!$AQ$1:$AQ$4</definedName>
    <definedName name="FinancePeriod">Consumer!$AQ$3:$AQ$6</definedName>
    <definedName name="Interest" localSheetId="1">Commercial!$AM$3</definedName>
    <definedName name="Interest" localSheetId="3">'Figures for JV'!$AO$1</definedName>
    <definedName name="Interest" localSheetId="2">'Original (2)'!$AO$1</definedName>
    <definedName name="Interest">Consumer!$AO$3</definedName>
    <definedName name="INTEREST1">Commercial!$AK$3</definedName>
    <definedName name="INTEREST2">Commercial!$AK$4</definedName>
    <definedName name="INTEREST3">Commercial!$AK$5</definedName>
    <definedName name="INTEREST4">Commercial!$AK$6</definedName>
    <definedName name="INTEREST5">Commercial!$AK$7</definedName>
    <definedName name="INTEREST6">Commercial!$AK$8</definedName>
    <definedName name="INTEREST7">Commercial!$AK$9</definedName>
    <definedName name="_xlnm.Print_Area" localSheetId="1">Commercial!$A$1:$J$39</definedName>
    <definedName name="_xlnm.Print_Area" localSheetId="0">Consumer!$B$2:$J$42</definedName>
    <definedName name="skipme">Commercial!#REF!</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31" i="1" l="1"/>
  <c r="G31" i="1"/>
  <c r="H31" i="1"/>
  <c r="E31" i="1"/>
  <c r="E29" i="1"/>
  <c r="F29" i="1"/>
  <c r="G29" i="1"/>
  <c r="H29" i="1"/>
  <c r="D14" i="4" l="1"/>
  <c r="G5" i="4" l="1"/>
  <c r="F5" i="4" s="1"/>
  <c r="D23" i="1" l="1"/>
  <c r="G32" i="1" l="1"/>
  <c r="H32" i="1"/>
  <c r="E32" i="1"/>
  <c r="F32" i="1"/>
  <c r="H5" i="1"/>
  <c r="I5" i="1" s="1"/>
  <c r="D15" i="4" l="1"/>
  <c r="D16" i="4"/>
  <c r="D18" i="4" s="1"/>
  <c r="D24" i="4"/>
  <c r="AM3" i="4"/>
  <c r="D15" i="1"/>
  <c r="D17" i="1" s="1"/>
  <c r="O11" i="3"/>
  <c r="O10" i="3"/>
  <c r="O9" i="3"/>
  <c r="B22" i="3"/>
  <c r="B14" i="3"/>
  <c r="B16" i="3" s="1"/>
  <c r="B25" i="3" s="1"/>
  <c r="I3" i="3"/>
  <c r="J3" i="3" s="1"/>
  <c r="AO1" i="3"/>
  <c r="I19" i="2"/>
  <c r="I18" i="2"/>
  <c r="I17" i="2"/>
  <c r="I16" i="2"/>
  <c r="B21" i="2"/>
  <c r="B13" i="2"/>
  <c r="B15" i="2" s="1"/>
  <c r="B24" i="2" s="1"/>
  <c r="B12" i="2"/>
  <c r="I3" i="2"/>
  <c r="J3" i="2"/>
  <c r="AO1" i="2"/>
  <c r="AO3" i="1"/>
  <c r="B26" i="3" l="1"/>
  <c r="B30" i="3"/>
  <c r="B32" i="3" s="1"/>
  <c r="B25" i="2"/>
  <c r="B29" i="2"/>
  <c r="B31" i="2" s="1"/>
  <c r="B13" i="3"/>
  <c r="E27" i="1"/>
  <c r="E30" i="1" s="1"/>
  <c r="E33" i="1" s="1"/>
  <c r="F27" i="1"/>
  <c r="F30" i="1" s="1"/>
  <c r="F33" i="1" s="1"/>
  <c r="H27" i="1"/>
  <c r="H30" i="1" s="1"/>
  <c r="H33" i="1" s="1"/>
  <c r="D27" i="1"/>
  <c r="D30" i="1" s="1"/>
  <c r="G27" i="1"/>
  <c r="G30" i="1" s="1"/>
  <c r="G33" i="1" s="1"/>
  <c r="F26" i="1"/>
  <c r="E26" i="1"/>
  <c r="H26" i="1"/>
  <c r="D26" i="1"/>
  <c r="G26" i="1"/>
  <c r="D27" i="4"/>
  <c r="D14" i="1"/>
  <c r="B36" i="3" l="1"/>
  <c r="B38" i="3" s="1"/>
  <c r="B40" i="3" s="1"/>
  <c r="B33" i="3"/>
  <c r="B35" i="2"/>
  <c r="B37" i="2" s="1"/>
  <c r="B39" i="2" s="1"/>
  <c r="B32" i="2"/>
  <c r="G29" i="4"/>
  <c r="G31" i="4" s="1"/>
  <c r="G33" i="4" s="1"/>
  <c r="G35" i="4" s="1"/>
  <c r="G37" i="4" s="1"/>
  <c r="H29" i="4"/>
  <c r="H31" i="4" s="1"/>
  <c r="H33" i="4" s="1"/>
  <c r="H35" i="4" s="1"/>
  <c r="H37" i="4" s="1"/>
  <c r="F29" i="4"/>
  <c r="F31" i="4" s="1"/>
  <c r="F33" i="4" s="1"/>
  <c r="F35" i="4" s="1"/>
  <c r="F37" i="4" s="1"/>
  <c r="E29" i="4"/>
  <c r="E31" i="4" s="1"/>
  <c r="E33" i="4" s="1"/>
  <c r="E35" i="4" s="1"/>
  <c r="E37" i="4" s="1"/>
  <c r="D29" i="4"/>
  <c r="D31" i="4" s="1"/>
  <c r="D33" i="4" s="1"/>
  <c r="D35" i="4" s="1"/>
  <c r="D37" i="4" s="1"/>
  <c r="H37" i="1"/>
  <c r="H39" i="1" s="1"/>
  <c r="H41" i="1" s="1"/>
  <c r="D33" i="1"/>
  <c r="G37" i="1"/>
  <c r="G39" i="1" s="1"/>
  <c r="G41" i="1" s="1"/>
  <c r="F37" i="1"/>
  <c r="F39" i="1" s="1"/>
  <c r="F41" i="1" s="1"/>
  <c r="D37" i="1"/>
  <c r="D39" i="1" s="1"/>
  <c r="D41" i="1" s="1"/>
</calcChain>
</file>

<file path=xl/sharedStrings.xml><?xml version="1.0" encoding="utf-8"?>
<sst xmlns="http://schemas.openxmlformats.org/spreadsheetml/2006/main" count="185" uniqueCount="102">
  <si>
    <t>Sub Total</t>
  </si>
  <si>
    <t>Less Deposit</t>
  </si>
  <si>
    <t>Name</t>
  </si>
  <si>
    <t>Address</t>
  </si>
  <si>
    <t>Phone</t>
  </si>
  <si>
    <t>Email</t>
  </si>
  <si>
    <t>Finance Option</t>
  </si>
  <si>
    <t>Total Amount Financed</t>
  </si>
  <si>
    <t>Total Monthly Payment</t>
  </si>
  <si>
    <t>Total amount per week</t>
  </si>
  <si>
    <t>Total amount paid over Term</t>
  </si>
  <si>
    <t>Hills Quoting Tool</t>
  </si>
  <si>
    <t xml:space="preserve"> </t>
  </si>
  <si>
    <t>Total Balance Due</t>
  </si>
  <si>
    <t>Finance Period (in months)</t>
  </si>
  <si>
    <t>Sydney</t>
  </si>
  <si>
    <t>012345678</t>
  </si>
  <si>
    <t>Interest Rate</t>
  </si>
  <si>
    <t>Administration</t>
  </si>
  <si>
    <t>Daily amount</t>
  </si>
  <si>
    <t>Total amount approved (Contract value)</t>
  </si>
  <si>
    <t>Total amount per month</t>
  </si>
  <si>
    <t>Monitoring and Platform costs</t>
  </si>
  <si>
    <t>Alarm monitoring per month</t>
  </si>
  <si>
    <t>Interactive platform per month</t>
  </si>
  <si>
    <t>Suretek per month</t>
  </si>
  <si>
    <t>Equipment and installation costs</t>
  </si>
  <si>
    <t>Other equipment and installation costs</t>
  </si>
  <si>
    <t>GST</t>
  </si>
  <si>
    <t>Comparison rate</t>
  </si>
  <si>
    <t>Monthly Payment</t>
  </si>
  <si>
    <t>Total monitoring and interactive costs</t>
  </si>
  <si>
    <t>Equipment costs</t>
  </si>
  <si>
    <t>Installation costs</t>
  </si>
  <si>
    <t>Pack 1</t>
  </si>
  <si>
    <t>pack1@gmail.com</t>
  </si>
  <si>
    <t>Ex GST</t>
  </si>
  <si>
    <t>GST inc</t>
  </si>
  <si>
    <t>Total ex GST</t>
  </si>
  <si>
    <t xml:space="preserve">Total </t>
  </si>
  <si>
    <t>Term</t>
  </si>
  <si>
    <t>48 months</t>
  </si>
  <si>
    <t>Monthly amount</t>
  </si>
  <si>
    <t>Weekly amount</t>
  </si>
  <si>
    <t>Pack 2</t>
  </si>
  <si>
    <t>Pack 2 with Options</t>
  </si>
  <si>
    <t>Pack 3</t>
  </si>
  <si>
    <t>Pack #</t>
  </si>
  <si>
    <t>Please note that all prices are inclusive of GST</t>
  </si>
  <si>
    <t>3G or 4G Communications</t>
  </si>
  <si>
    <t>Administration charge</t>
  </si>
  <si>
    <t>Reliance kit S7777K</t>
  </si>
  <si>
    <t>Reliance kit S7778K</t>
  </si>
  <si>
    <t>Reliance kit S7779K</t>
  </si>
  <si>
    <t>Price ex GST</t>
  </si>
  <si>
    <t>Price inc GST</t>
  </si>
  <si>
    <t>Monthly</t>
  </si>
  <si>
    <t>Weekly</t>
  </si>
  <si>
    <t>Daily</t>
  </si>
  <si>
    <t>Kit type</t>
  </si>
  <si>
    <t xml:space="preserve">John Smith </t>
  </si>
  <si>
    <t>Equipment costs (inc GST)</t>
  </si>
  <si>
    <t>Installation costs (inc GST)</t>
  </si>
  <si>
    <t>Other equipment and installation costs (inc GST)</t>
  </si>
  <si>
    <t>Alarm monitoring per month (inc GST)</t>
  </si>
  <si>
    <t>Interactive platform per month (inc GST)</t>
  </si>
  <si>
    <t>3G or 4G Communications (inc GST)</t>
  </si>
  <si>
    <t>GST calculator</t>
  </si>
  <si>
    <t>Monitoring and Interactive costs</t>
  </si>
  <si>
    <t>Total Monthly Cost (Including Credit payment, monitoring and interactive payments)</t>
  </si>
  <si>
    <t>Credit term (months)</t>
  </si>
  <si>
    <t>Customer details</t>
  </si>
  <si>
    <t>CONSUMER</t>
  </si>
  <si>
    <t>Lease Option</t>
  </si>
  <si>
    <t>Total Amount</t>
  </si>
  <si>
    <t>Total Monthly Lease Payment</t>
  </si>
  <si>
    <t>TOTAL MONTHLY AMOUNT</t>
  </si>
  <si>
    <t>Equipment costs (ex GST)</t>
  </si>
  <si>
    <t>Installation costs (ex GST)</t>
  </si>
  <si>
    <t>Other equipment and installation costs (ex GST)</t>
  </si>
  <si>
    <t>Alarm monitoring per month (ex GST)</t>
  </si>
  <si>
    <t>Interactive platform per month (ex GST)</t>
  </si>
  <si>
    <t>3G or 4G Communications (ex GST)</t>
  </si>
  <si>
    <t xml:space="preserve">The above information is provided for indicative proposes only and does not constitute an offer or  binding commitment. Pula Capital always recommends that customers seek independent financial advice before undertaking any financial decisions regarding an equipment purchase or acquisition.  </t>
  </si>
  <si>
    <t>CONSUMER/RESIDENTIAL</t>
  </si>
  <si>
    <t>COMMERCIAL/SME</t>
  </si>
  <si>
    <t>Joe Briggs</t>
  </si>
  <si>
    <t>all amounts are ex GST</t>
  </si>
  <si>
    <t>All amounts are inc GST</t>
  </si>
  <si>
    <t>Deal total (ex GST)</t>
  </si>
  <si>
    <t>No monitoring</t>
  </si>
  <si>
    <t>Term of monitoring service (months)</t>
  </si>
  <si>
    <t>Minimum monthly credit repayment amount (3% of approved limit)</t>
  </si>
  <si>
    <t>Monthly Administration charge</t>
  </si>
  <si>
    <t>Monthly monitoring and interactive costs</t>
  </si>
  <si>
    <t>Total minimum monthly repayment</t>
  </si>
  <si>
    <t xml:space="preserve">Annual interest rate on outstanding balance </t>
  </si>
  <si>
    <t>Total approved limit</t>
  </si>
  <si>
    <t>ADC ALARMS Quoting Tool</t>
  </si>
  <si>
    <t xml:space="preserve">The above information is provided for indicative proposes only and does not constitute an offer or  binding commitment. Pula Capital always recommends that customers seek independent </t>
  </si>
  <si>
    <t xml:space="preserve">financial advice before undertaking any financial decisions regarding an equipment purchase or acquisition.  </t>
  </si>
  <si>
    <t>Please send us a request for quotes over $100k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</si>
</sst>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quot;$&quot;#,##0.00;[Red]&quot;$&quot;#,##0.00"/>
    <numFmt numFmtId="165" formatCode="&quot;$&quot;#,##0.00"/>
  </numFmts>
  <fonts count="18" x14ac:knownFonts="1">
    <font>
      <sz val="11"/>
      <color theme="1"/>
      <name val="Calibri"/>
      <family val="2"/>
      <scheme val="minor"/>
    </font>
    <font>
      <u/>
      <sz val="11"/>
      <color theme="10"/>
      <name val="Calibri"/>
      <family val="2"/>
      <scheme val="minor"/>
    </font>
    <font>
      <b/>
      <sz val="14"/>
      <color theme="1"/>
      <name val="Calibri Light"/>
      <family val="2"/>
      <scheme val="major"/>
    </font>
    <font>
      <sz val="14"/>
      <color theme="1"/>
      <name val="Calibri Light"/>
      <family val="2"/>
      <scheme val="major"/>
    </font>
    <font>
      <sz val="14"/>
      <name val="Calibri Light"/>
      <family val="2"/>
      <scheme val="major"/>
    </font>
    <font>
      <b/>
      <sz val="14"/>
      <name val="Calibri Light"/>
      <family val="2"/>
      <scheme val="major"/>
    </font>
    <font>
      <b/>
      <sz val="11"/>
      <color theme="1"/>
      <name val="Calibri"/>
      <family val="2"/>
      <scheme val="minor"/>
    </font>
    <font>
      <b/>
      <sz val="15"/>
      <color theme="1"/>
      <name val="Calibri Light"/>
      <family val="2"/>
      <scheme val="major"/>
    </font>
    <font>
      <sz val="15"/>
      <color theme="1"/>
      <name val="Calibri"/>
      <family val="2"/>
      <scheme val="minor"/>
    </font>
    <font>
      <sz val="15"/>
      <color theme="1"/>
      <name val="Calibri Light"/>
      <family val="2"/>
      <scheme val="major"/>
    </font>
    <font>
      <sz val="15"/>
      <name val="Calibri Light"/>
      <family val="2"/>
      <scheme val="major"/>
    </font>
    <font>
      <b/>
      <sz val="15"/>
      <name val="Calibri Light"/>
      <family val="2"/>
      <scheme val="major"/>
    </font>
    <font>
      <sz val="15"/>
      <color rgb="FFFF0000"/>
      <name val="Calibri Light"/>
      <family val="2"/>
      <scheme val="major"/>
    </font>
    <font>
      <b/>
      <sz val="15"/>
      <color rgb="FFFF0000"/>
      <name val="Calibri Light"/>
      <family val="2"/>
      <scheme val="major"/>
    </font>
    <font>
      <b/>
      <sz val="20"/>
      <color theme="1"/>
      <name val="Calibri Light"/>
      <family val="2"/>
      <scheme val="major"/>
    </font>
    <font>
      <sz val="20"/>
      <color theme="1"/>
      <name val="Calibri"/>
      <family val="2"/>
      <scheme val="minor"/>
    </font>
    <font>
      <b/>
      <sz val="11"/>
      <color rgb="FFFF0000"/>
      <name val="Calibri"/>
      <family val="2"/>
      <scheme val="minor"/>
    </font>
    <font>
      <b/>
      <sz val="14"/>
      <color rgb="FFFF0000"/>
      <name val="Calibri Light"/>
      <family val="2"/>
      <scheme val="major"/>
    </font>
  </fonts>
  <fills count="8">
    <fill>
      <patternFill patternType="none"/>
    </fill>
    <fill>
      <patternFill patternType="gray125"/>
    </fill>
    <fill>
      <patternFill patternType="solid">
        <fgColor rgb="FFFF0000"/>
        <bgColor indexed="64"/>
      </patternFill>
    </fill>
    <fill>
      <patternFill patternType="solid">
        <fgColor theme="2" tint="-0.249977111117893"/>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rgb="FF0070C0"/>
        <bgColor indexed="64"/>
      </patternFill>
    </fill>
    <fill>
      <patternFill patternType="solid">
        <fgColor theme="4" tint="0.39997558519241921"/>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top style="thin">
        <color indexed="64"/>
      </top>
      <bottom style="thin">
        <color indexed="64"/>
      </bottom>
      <diagonal/>
    </border>
    <border>
      <left/>
      <right style="medium">
        <color indexed="64"/>
      </right>
      <top/>
      <bottom/>
      <diagonal/>
    </border>
    <border>
      <left/>
      <right/>
      <top style="medium">
        <color indexed="64"/>
      </top>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thin">
        <color indexed="64"/>
      </left>
      <right style="medium">
        <color indexed="64"/>
      </right>
      <top/>
      <bottom/>
      <diagonal/>
    </border>
    <border>
      <left style="thin">
        <color indexed="64"/>
      </left>
      <right style="thin">
        <color indexed="64"/>
      </right>
      <top/>
      <bottom/>
      <diagonal/>
    </border>
    <border>
      <left/>
      <right style="medium">
        <color indexed="64"/>
      </right>
      <top style="medium">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21">
    <xf numFmtId="0" fontId="0" fillId="0" borderId="0" xfId="0"/>
    <xf numFmtId="0" fontId="1" fillId="0" borderId="1" xfId="1" applyBorder="1"/>
    <xf numFmtId="0" fontId="2" fillId="0" borderId="0" xfId="0" applyFont="1"/>
    <xf numFmtId="0" fontId="3" fillId="0" borderId="0" xfId="0" applyFont="1"/>
    <xf numFmtId="0" fontId="3" fillId="0" borderId="1" xfId="0" applyFont="1" applyBorder="1"/>
    <xf numFmtId="49" fontId="3" fillId="0" borderId="1" xfId="0" quotePrefix="1" applyNumberFormat="1" applyFont="1" applyBorder="1"/>
    <xf numFmtId="10" fontId="3" fillId="0" borderId="0" xfId="0" applyNumberFormat="1" applyFont="1"/>
    <xf numFmtId="165" fontId="3" fillId="0" borderId="1" xfId="0" applyNumberFormat="1" applyFont="1" applyBorder="1"/>
    <xf numFmtId="165" fontId="3" fillId="0" borderId="1" xfId="0" applyNumberFormat="1" applyFont="1" applyFill="1" applyBorder="1"/>
    <xf numFmtId="10" fontId="3" fillId="0" borderId="1" xfId="0" applyNumberFormat="1" applyFont="1" applyBorder="1"/>
    <xf numFmtId="164" fontId="3" fillId="0" borderId="1" xfId="0" applyNumberFormat="1" applyFont="1" applyBorder="1"/>
    <xf numFmtId="0" fontId="2" fillId="0" borderId="1" xfId="0" applyFont="1" applyBorder="1"/>
    <xf numFmtId="49" fontId="3" fillId="0" borderId="0" xfId="0" applyNumberFormat="1" applyFont="1"/>
    <xf numFmtId="0" fontId="3" fillId="0" borderId="1" xfId="0" applyFont="1" applyBorder="1" applyAlignment="1">
      <alignment horizontal="center"/>
    </xf>
    <xf numFmtId="165" fontId="3" fillId="0" borderId="1" xfId="0" applyNumberFormat="1" applyFont="1" applyBorder="1" applyAlignment="1">
      <alignment horizontal="center"/>
    </xf>
    <xf numFmtId="165" fontId="3" fillId="0" borderId="0" xfId="0" applyNumberFormat="1" applyFont="1"/>
    <xf numFmtId="0" fontId="3" fillId="0" borderId="1" xfId="0" applyFont="1" applyBorder="1" applyAlignment="1">
      <alignment horizontal="center" wrapText="1"/>
    </xf>
    <xf numFmtId="4" fontId="3" fillId="0" borderId="1" xfId="0" applyNumberFormat="1" applyFont="1" applyBorder="1" applyAlignment="1">
      <alignment horizontal="center"/>
    </xf>
    <xf numFmtId="165" fontId="3" fillId="2" borderId="1" xfId="0" applyNumberFormat="1" applyFont="1" applyFill="1" applyBorder="1" applyAlignment="1">
      <alignment horizontal="center"/>
    </xf>
    <xf numFmtId="0" fontId="2" fillId="0" borderId="1" xfId="0" applyFont="1" applyBorder="1" applyAlignment="1">
      <alignment horizontal="center" wrapText="1"/>
    </xf>
    <xf numFmtId="0" fontId="2" fillId="2" borderId="1" xfId="0" applyFont="1" applyFill="1" applyBorder="1" applyAlignment="1">
      <alignment horizontal="center" wrapText="1"/>
    </xf>
    <xf numFmtId="0" fontId="3" fillId="0" borderId="0" xfId="0" applyFont="1" applyFill="1"/>
    <xf numFmtId="0" fontId="4" fillId="0" borderId="0" xfId="0" applyFont="1" applyFill="1" applyBorder="1"/>
    <xf numFmtId="0" fontId="5" fillId="0" borderId="0" xfId="0" applyFont="1" applyFill="1" applyBorder="1" applyAlignment="1">
      <alignment horizontal="center" wrapText="1"/>
    </xf>
    <xf numFmtId="0" fontId="4" fillId="0" borderId="0" xfId="0" applyFont="1" applyFill="1" applyBorder="1" applyAlignment="1">
      <alignment horizontal="center"/>
    </xf>
    <xf numFmtId="4" fontId="4" fillId="0" borderId="0" xfId="0" applyNumberFormat="1" applyFont="1" applyFill="1" applyBorder="1" applyAlignment="1">
      <alignment horizontal="center"/>
    </xf>
    <xf numFmtId="165" fontId="4" fillId="0" borderId="0" xfId="0" applyNumberFormat="1" applyFont="1" applyFill="1" applyBorder="1" applyAlignment="1">
      <alignment horizontal="center"/>
    </xf>
    <xf numFmtId="0" fontId="4" fillId="0" borderId="0" xfId="0" applyFont="1" applyFill="1" applyBorder="1" applyAlignment="1">
      <alignment horizontal="center" wrapText="1"/>
    </xf>
    <xf numFmtId="164" fontId="3" fillId="0" borderId="1" xfId="0" applyNumberFormat="1" applyFont="1" applyFill="1" applyBorder="1"/>
    <xf numFmtId="0" fontId="2" fillId="0" borderId="1" xfId="0" applyFont="1" applyBorder="1" applyAlignment="1">
      <alignment horizontal="center"/>
    </xf>
    <xf numFmtId="0" fontId="3" fillId="3" borderId="1" xfId="0" applyFont="1" applyFill="1" applyBorder="1" applyAlignment="1">
      <alignment horizontal="center"/>
    </xf>
    <xf numFmtId="165" fontId="3" fillId="3" borderId="1" xfId="0" applyNumberFormat="1" applyFont="1" applyFill="1" applyBorder="1" applyAlignment="1">
      <alignment horizontal="center"/>
    </xf>
    <xf numFmtId="0" fontId="9" fillId="4" borderId="1" xfId="0" applyFont="1" applyFill="1" applyBorder="1"/>
    <xf numFmtId="0" fontId="9" fillId="0" borderId="1" xfId="0" applyFont="1" applyBorder="1" applyProtection="1">
      <protection locked="0"/>
    </xf>
    <xf numFmtId="165" fontId="9" fillId="0" borderId="1" xfId="0" applyNumberFormat="1" applyFont="1" applyBorder="1" applyProtection="1">
      <protection locked="0"/>
    </xf>
    <xf numFmtId="165" fontId="9" fillId="4" borderId="1" xfId="0" applyNumberFormat="1" applyFont="1" applyFill="1" applyBorder="1"/>
    <xf numFmtId="164" fontId="9" fillId="4" borderId="1" xfId="0" applyNumberFormat="1" applyFont="1" applyFill="1" applyBorder="1"/>
    <xf numFmtId="0" fontId="12" fillId="5" borderId="0" xfId="0" applyFont="1" applyFill="1"/>
    <xf numFmtId="0" fontId="12" fillId="5" borderId="0" xfId="0" applyFont="1" applyFill="1" applyBorder="1"/>
    <xf numFmtId="0" fontId="13" fillId="5" borderId="0" xfId="0" applyFont="1" applyFill="1" applyBorder="1" applyAlignment="1">
      <alignment horizontal="center" wrapText="1"/>
    </xf>
    <xf numFmtId="0" fontId="12" fillId="5" borderId="0" xfId="0" applyFont="1" applyFill="1" applyBorder="1" applyAlignment="1">
      <alignment horizontal="center"/>
    </xf>
    <xf numFmtId="165" fontId="12" fillId="5" borderId="0" xfId="0" applyNumberFormat="1" applyFont="1" applyFill="1" applyBorder="1" applyAlignment="1">
      <alignment horizontal="center"/>
    </xf>
    <xf numFmtId="0" fontId="9" fillId="5" borderId="0" xfId="0" applyFont="1" applyFill="1"/>
    <xf numFmtId="0" fontId="9" fillId="5" borderId="0" xfId="0" applyFont="1" applyFill="1" applyBorder="1"/>
    <xf numFmtId="10" fontId="9" fillId="5" borderId="0" xfId="0" applyNumberFormat="1" applyFont="1" applyFill="1" applyBorder="1"/>
    <xf numFmtId="0" fontId="10" fillId="5" borderId="0" xfId="0" applyFont="1" applyFill="1" applyBorder="1"/>
    <xf numFmtId="0" fontId="11" fillId="5" borderId="0" xfId="0" applyFont="1" applyFill="1" applyBorder="1" applyAlignment="1">
      <alignment horizontal="center" wrapText="1"/>
    </xf>
    <xf numFmtId="0" fontId="10" fillId="5" borderId="0" xfId="0" applyFont="1" applyFill="1" applyBorder="1" applyAlignment="1">
      <alignment horizontal="center"/>
    </xf>
    <xf numFmtId="4" fontId="10" fillId="5" borderId="0" xfId="0" applyNumberFormat="1" applyFont="1" applyFill="1" applyBorder="1" applyAlignment="1">
      <alignment horizontal="center"/>
    </xf>
    <xf numFmtId="0" fontId="10" fillId="5" borderId="0" xfId="0" applyFont="1" applyFill="1" applyBorder="1" applyAlignment="1">
      <alignment horizontal="center" wrapText="1"/>
    </xf>
    <xf numFmtId="0" fontId="7" fillId="5" borderId="0" xfId="0" applyFont="1" applyFill="1"/>
    <xf numFmtId="0" fontId="7" fillId="6" borderId="3" xfId="0" applyFont="1" applyFill="1" applyBorder="1"/>
    <xf numFmtId="164" fontId="7" fillId="6" borderId="4" xfId="0" applyNumberFormat="1" applyFont="1" applyFill="1" applyBorder="1"/>
    <xf numFmtId="164" fontId="7" fillId="6" borderId="5" xfId="0" applyNumberFormat="1" applyFont="1" applyFill="1" applyBorder="1"/>
    <xf numFmtId="0" fontId="7" fillId="7" borderId="1" xfId="0" applyFont="1" applyFill="1" applyBorder="1" applyProtection="1">
      <protection locked="0"/>
    </xf>
    <xf numFmtId="0" fontId="3" fillId="5" borderId="0" xfId="0" applyFont="1" applyFill="1"/>
    <xf numFmtId="0" fontId="4" fillId="5" borderId="0" xfId="0" applyFont="1" applyFill="1" applyBorder="1"/>
    <xf numFmtId="0" fontId="5" fillId="5" borderId="0" xfId="0" applyFont="1" applyFill="1" applyBorder="1" applyAlignment="1">
      <alignment horizontal="center" wrapText="1"/>
    </xf>
    <xf numFmtId="4" fontId="4" fillId="5" borderId="0" xfId="0" applyNumberFormat="1" applyFont="1" applyFill="1" applyBorder="1" applyAlignment="1">
      <alignment horizontal="center"/>
    </xf>
    <xf numFmtId="0" fontId="4" fillId="5" borderId="0" xfId="0" applyFont="1" applyFill="1" applyBorder="1" applyAlignment="1">
      <alignment horizontal="center"/>
    </xf>
    <xf numFmtId="165" fontId="4" fillId="5" borderId="0" xfId="0" applyNumberFormat="1" applyFont="1" applyFill="1" applyBorder="1" applyAlignment="1">
      <alignment horizontal="center"/>
    </xf>
    <xf numFmtId="0" fontId="4" fillId="5" borderId="0" xfId="0" applyFont="1" applyFill="1" applyBorder="1" applyAlignment="1">
      <alignment horizontal="center" wrapText="1"/>
    </xf>
    <xf numFmtId="0" fontId="2" fillId="5" borderId="0" xfId="0" applyFont="1" applyFill="1"/>
    <xf numFmtId="0" fontId="4" fillId="5" borderId="0" xfId="0" applyFont="1" applyFill="1"/>
    <xf numFmtId="165" fontId="7" fillId="6" borderId="3" xfId="0" applyNumberFormat="1" applyFont="1" applyFill="1" applyBorder="1"/>
    <xf numFmtId="0" fontId="3" fillId="5" borderId="8" xfId="0" applyFont="1" applyFill="1" applyBorder="1"/>
    <xf numFmtId="0" fontId="9" fillId="5" borderId="10" xfId="0" applyFont="1" applyFill="1" applyBorder="1"/>
    <xf numFmtId="0" fontId="9" fillId="5" borderId="11" xfId="0" applyFont="1" applyFill="1" applyBorder="1"/>
    <xf numFmtId="0" fontId="9" fillId="5" borderId="9" xfId="0" applyFont="1" applyFill="1" applyBorder="1"/>
    <xf numFmtId="0" fontId="12" fillId="5" borderId="8" xfId="0" applyFont="1" applyFill="1" applyBorder="1"/>
    <xf numFmtId="0" fontId="12" fillId="5" borderId="10" xfId="0" applyFont="1" applyFill="1" applyBorder="1"/>
    <xf numFmtId="0" fontId="12" fillId="5" borderId="12" xfId="0" applyFont="1" applyFill="1" applyBorder="1"/>
    <xf numFmtId="0" fontId="12" fillId="5" borderId="13" xfId="0" applyFont="1" applyFill="1" applyBorder="1"/>
    <xf numFmtId="0" fontId="13" fillId="5" borderId="8" xfId="0" applyFont="1" applyFill="1" applyBorder="1" applyAlignment="1">
      <alignment horizontal="center" wrapText="1"/>
    </xf>
    <xf numFmtId="4" fontId="12" fillId="5" borderId="8" xfId="0" applyNumberFormat="1" applyFont="1" applyFill="1" applyBorder="1" applyAlignment="1">
      <alignment horizontal="center"/>
    </xf>
    <xf numFmtId="0" fontId="3" fillId="5" borderId="10" xfId="0" applyFont="1" applyFill="1" applyBorder="1"/>
    <xf numFmtId="0" fontId="12" fillId="5" borderId="14" xfId="0" applyFont="1" applyFill="1" applyBorder="1"/>
    <xf numFmtId="0" fontId="3" fillId="5" borderId="9" xfId="0" applyFont="1" applyFill="1" applyBorder="1"/>
    <xf numFmtId="0" fontId="3" fillId="5" borderId="16" xfId="0" applyFont="1" applyFill="1" applyBorder="1"/>
    <xf numFmtId="0" fontId="3" fillId="5" borderId="0" xfId="0" applyFont="1" applyFill="1" applyBorder="1"/>
    <xf numFmtId="0" fontId="3" fillId="3" borderId="2" xfId="0" applyFont="1" applyFill="1" applyBorder="1" applyAlignment="1">
      <alignment horizontal="center"/>
    </xf>
    <xf numFmtId="165" fontId="3" fillId="0" borderId="2" xfId="0" applyNumberFormat="1" applyFont="1" applyFill="1" applyBorder="1" applyAlignment="1" applyProtection="1">
      <alignment horizontal="center"/>
      <protection locked="0"/>
    </xf>
    <xf numFmtId="10" fontId="3" fillId="5" borderId="8" xfId="0" applyNumberFormat="1" applyFont="1" applyFill="1" applyBorder="1"/>
    <xf numFmtId="0" fontId="4" fillId="5" borderId="8" xfId="0" applyFont="1" applyFill="1" applyBorder="1"/>
    <xf numFmtId="0" fontId="5" fillId="5" borderId="8" xfId="0" applyFont="1" applyFill="1" applyBorder="1" applyAlignment="1">
      <alignment horizontal="center" wrapText="1"/>
    </xf>
    <xf numFmtId="4" fontId="4" fillId="5" borderId="8" xfId="0" applyNumberFormat="1" applyFont="1" applyFill="1" applyBorder="1" applyAlignment="1">
      <alignment horizontal="center"/>
    </xf>
    <xf numFmtId="0" fontId="9" fillId="5" borderId="15" xfId="0" applyFont="1" applyFill="1" applyBorder="1"/>
    <xf numFmtId="165" fontId="7" fillId="6" borderId="6" xfId="0" applyNumberFormat="1" applyFont="1" applyFill="1" applyBorder="1"/>
    <xf numFmtId="0" fontId="3" fillId="5" borderId="13" xfId="0" applyFont="1" applyFill="1" applyBorder="1"/>
    <xf numFmtId="165" fontId="7" fillId="6" borderId="19" xfId="0" applyNumberFormat="1" applyFont="1" applyFill="1" applyBorder="1"/>
    <xf numFmtId="0" fontId="7" fillId="7" borderId="1" xfId="0" applyFont="1" applyFill="1" applyBorder="1" applyAlignment="1" applyProtection="1">
      <alignment horizontal="center"/>
      <protection locked="0"/>
    </xf>
    <xf numFmtId="0" fontId="9" fillId="5" borderId="20" xfId="0" applyFont="1" applyFill="1" applyBorder="1"/>
    <xf numFmtId="10" fontId="9" fillId="4" borderId="1" xfId="0" applyNumberFormat="1" applyFont="1" applyFill="1" applyBorder="1" applyAlignment="1">
      <alignment horizontal="center"/>
    </xf>
    <xf numFmtId="165" fontId="9" fillId="4" borderId="1" xfId="0" applyNumberFormat="1" applyFont="1" applyFill="1" applyBorder="1" applyAlignment="1">
      <alignment horizontal="center"/>
    </xf>
    <xf numFmtId="164" fontId="9" fillId="4" borderId="1" xfId="0" applyNumberFormat="1" applyFont="1" applyFill="1" applyBorder="1" applyAlignment="1">
      <alignment horizontal="center"/>
    </xf>
    <xf numFmtId="0" fontId="9" fillId="4" borderId="21" xfId="0" applyFont="1" applyFill="1" applyBorder="1"/>
    <xf numFmtId="164" fontId="9" fillId="4" borderId="21" xfId="0" applyNumberFormat="1" applyFont="1" applyFill="1" applyBorder="1" applyAlignment="1">
      <alignment horizontal="center"/>
    </xf>
    <xf numFmtId="0" fontId="9" fillId="4" borderId="3" xfId="0" applyFont="1" applyFill="1" applyBorder="1"/>
    <xf numFmtId="164" fontId="9" fillId="4" borderId="4" xfId="0" applyNumberFormat="1" applyFont="1" applyFill="1" applyBorder="1" applyAlignment="1">
      <alignment horizontal="center"/>
    </xf>
    <xf numFmtId="0" fontId="7" fillId="4" borderId="1" xfId="0" applyFont="1" applyFill="1" applyBorder="1" applyAlignment="1">
      <alignment horizontal="center"/>
    </xf>
    <xf numFmtId="0" fontId="8" fillId="4" borderId="1" xfId="0" applyFont="1" applyFill="1" applyBorder="1" applyAlignment="1">
      <alignment horizontal="center"/>
    </xf>
    <xf numFmtId="0" fontId="8" fillId="0" borderId="1" xfId="0" applyFont="1" applyBorder="1" applyAlignment="1">
      <alignment horizontal="center"/>
    </xf>
    <xf numFmtId="0" fontId="2" fillId="3" borderId="2" xfId="0" applyFont="1" applyFill="1" applyBorder="1" applyAlignment="1">
      <alignment horizontal="center"/>
    </xf>
    <xf numFmtId="0" fontId="6" fillId="3" borderId="1" xfId="0" applyFont="1" applyFill="1" applyBorder="1" applyAlignment="1">
      <alignment horizontal="center"/>
    </xf>
    <xf numFmtId="0" fontId="7" fillId="6" borderId="6" xfId="0" applyFont="1" applyFill="1" applyBorder="1" applyAlignment="1">
      <alignment horizontal="center" wrapText="1"/>
    </xf>
    <xf numFmtId="0" fontId="0" fillId="0" borderId="17" xfId="0" applyBorder="1" applyAlignment="1">
      <alignment horizontal="center" wrapText="1"/>
    </xf>
    <xf numFmtId="0" fontId="0" fillId="0" borderId="18" xfId="0" applyBorder="1" applyAlignment="1">
      <alignment horizontal="center" wrapText="1"/>
    </xf>
    <xf numFmtId="0" fontId="9" fillId="4" borderId="1" xfId="0" applyFont="1" applyFill="1" applyBorder="1" applyAlignment="1">
      <alignment horizontal="center"/>
    </xf>
    <xf numFmtId="0" fontId="7" fillId="7" borderId="7" xfId="0" applyFont="1" applyFill="1" applyBorder="1" applyAlignment="1" applyProtection="1">
      <alignment horizontal="center"/>
      <protection locked="0"/>
    </xf>
    <xf numFmtId="0" fontId="8" fillId="0" borderId="2" xfId="0" applyFont="1" applyBorder="1" applyAlignment="1">
      <alignment horizontal="center"/>
    </xf>
    <xf numFmtId="0" fontId="17" fillId="5" borderId="9" xfId="0" applyFont="1" applyFill="1" applyBorder="1" applyAlignment="1">
      <alignment horizontal="center"/>
    </xf>
    <xf numFmtId="0" fontId="16" fillId="0" borderId="9" xfId="0" applyFont="1" applyBorder="1" applyAlignment="1">
      <alignment horizontal="center"/>
    </xf>
    <xf numFmtId="0" fontId="14" fillId="7" borderId="6" xfId="0" applyFont="1" applyFill="1" applyBorder="1" applyAlignment="1" applyProtection="1">
      <alignment horizontal="center"/>
      <protection locked="0"/>
    </xf>
    <xf numFmtId="0" fontId="15" fillId="0" borderId="17" xfId="0" applyFont="1" applyBorder="1" applyAlignment="1">
      <alignment horizontal="center"/>
    </xf>
    <xf numFmtId="0" fontId="15" fillId="0" borderId="18" xfId="0" applyFont="1" applyBorder="1" applyAlignment="1">
      <alignment horizontal="center"/>
    </xf>
    <xf numFmtId="0" fontId="7" fillId="4" borderId="7" xfId="0" applyFont="1" applyFill="1" applyBorder="1" applyAlignment="1">
      <alignment horizontal="center"/>
    </xf>
    <xf numFmtId="0" fontId="8" fillId="4" borderId="22" xfId="0" applyFont="1" applyFill="1" applyBorder="1" applyAlignment="1">
      <alignment horizontal="center"/>
    </xf>
    <xf numFmtId="0" fontId="0" fillId="0" borderId="22" xfId="0" applyBorder="1" applyAlignment="1"/>
    <xf numFmtId="0" fontId="0" fillId="0" borderId="2" xfId="0" applyBorder="1" applyAlignment="1"/>
    <xf numFmtId="0" fontId="0" fillId="0" borderId="2" xfId="0" applyBorder="1" applyAlignment="1">
      <alignment horizontal="center"/>
    </xf>
    <xf numFmtId="0" fontId="13" fillId="5" borderId="9" xfId="0" applyFont="1" applyFill="1" applyBorder="1" applyAlignment="1">
      <alignment horizontal="center"/>
    </xf>
  </cellXfs>
  <cellStyles count="2">
    <cellStyle name="Hyperlink" xfId="1" builtinId="8"/>
    <cellStyle name="Normal" xfId="0" builtinId="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pack1@gmail.com"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pack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Q44"/>
  <sheetViews>
    <sheetView zoomScale="70" zoomScaleNormal="70" workbookViewId="0">
      <selection activeCell="D21" sqref="D21"/>
    </sheetView>
  </sheetViews>
  <sheetFormatPr defaultColWidth="9.125" defaultRowHeight="18.75" x14ac:dyDescent="0.3"/>
  <cols>
    <col min="1" max="1" width="9.125" style="55"/>
    <col min="2" max="2" width="3.125" style="55" customWidth="1"/>
    <col min="3" max="3" width="78.125" style="55" customWidth="1"/>
    <col min="4" max="4" width="20.75" style="55" bestFit="1" customWidth="1"/>
    <col min="5" max="8" width="29.125" style="55" bestFit="1" customWidth="1"/>
    <col min="9" max="9" width="15.75" style="55" customWidth="1"/>
    <col min="10" max="10" width="3.375" style="55" customWidth="1"/>
    <col min="11" max="11" width="11.25" style="55" bestFit="1" customWidth="1"/>
    <col min="12" max="12" width="13" style="55" bestFit="1" customWidth="1"/>
    <col min="13" max="13" width="13.375" style="55" customWidth="1"/>
    <col min="14" max="15" width="11.625" style="55" customWidth="1"/>
    <col min="16" max="16384" width="9.125" style="55"/>
  </cols>
  <sheetData>
    <row r="1" spans="1:43" ht="12" customHeight="1" thickBot="1" x14ac:dyDescent="0.35">
      <c r="B1" s="75"/>
      <c r="C1" s="75"/>
      <c r="D1" s="75"/>
      <c r="E1" s="75"/>
      <c r="F1" s="75"/>
    </row>
    <row r="2" spans="1:43" ht="20.25" customHeight="1" x14ac:dyDescent="0.3">
      <c r="A2" s="65"/>
      <c r="G2" s="77"/>
      <c r="H2" s="77"/>
      <c r="I2" s="77"/>
      <c r="J2" s="78"/>
    </row>
    <row r="3" spans="1:43" ht="20.25" customHeight="1" x14ac:dyDescent="0.3">
      <c r="A3" s="65"/>
      <c r="C3" s="99" t="s">
        <v>11</v>
      </c>
      <c r="D3" s="100"/>
      <c r="E3" s="43"/>
      <c r="F3" s="91"/>
      <c r="G3" s="102" t="s">
        <v>67</v>
      </c>
      <c r="H3" s="103"/>
      <c r="I3" s="103"/>
      <c r="J3" s="65"/>
      <c r="AO3" s="55" t="e">
        <f>#REF!/12</f>
        <v>#REF!</v>
      </c>
      <c r="AQ3" s="55">
        <v>12</v>
      </c>
    </row>
    <row r="4" spans="1:43" ht="19.5" x14ac:dyDescent="0.3">
      <c r="A4" s="65"/>
      <c r="C4" s="108" t="s">
        <v>72</v>
      </c>
      <c r="D4" s="109"/>
      <c r="E4" s="43"/>
      <c r="F4" s="91"/>
      <c r="G4" s="80" t="s">
        <v>36</v>
      </c>
      <c r="H4" s="30" t="s">
        <v>28</v>
      </c>
      <c r="I4" s="30" t="s">
        <v>37</v>
      </c>
      <c r="J4" s="65"/>
      <c r="AQ4" s="55">
        <v>24</v>
      </c>
    </row>
    <row r="5" spans="1:43" ht="19.5" x14ac:dyDescent="0.3">
      <c r="A5" s="65"/>
      <c r="C5" s="99" t="s">
        <v>71</v>
      </c>
      <c r="D5" s="101"/>
      <c r="E5" s="43"/>
      <c r="F5" s="91"/>
      <c r="G5" s="81">
        <v>0</v>
      </c>
      <c r="H5" s="31">
        <f>$G$5*0.1</f>
        <v>0</v>
      </c>
      <c r="I5" s="31">
        <f>$H$5+$G$5</f>
        <v>0</v>
      </c>
      <c r="J5" s="65"/>
      <c r="AQ5" s="55">
        <v>36</v>
      </c>
    </row>
    <row r="6" spans="1:43" ht="19.5" x14ac:dyDescent="0.3">
      <c r="A6" s="65"/>
      <c r="C6" s="32" t="s">
        <v>2</v>
      </c>
      <c r="D6" s="33" t="s">
        <v>60</v>
      </c>
      <c r="E6" s="43"/>
      <c r="F6" s="43"/>
      <c r="G6" s="79"/>
      <c r="H6" s="79"/>
      <c r="I6" s="79"/>
      <c r="J6" s="65"/>
      <c r="AQ6" s="55">
        <v>48</v>
      </c>
    </row>
    <row r="7" spans="1:43" ht="19.5" x14ac:dyDescent="0.3">
      <c r="A7" s="65"/>
      <c r="C7" s="32" t="s">
        <v>3</v>
      </c>
      <c r="D7" s="33" t="s">
        <v>15</v>
      </c>
      <c r="E7" s="43"/>
      <c r="F7" s="43"/>
      <c r="G7" s="79"/>
      <c r="J7" s="65"/>
    </row>
    <row r="8" spans="1:43" ht="12" customHeight="1" thickBot="1" x14ac:dyDescent="0.35">
      <c r="A8" s="65"/>
      <c r="C8" s="42"/>
      <c r="D8" s="42"/>
      <c r="E8" s="43"/>
      <c r="F8" s="43"/>
      <c r="J8" s="82"/>
    </row>
    <row r="9" spans="1:43" ht="27" customHeight="1" thickBot="1" x14ac:dyDescent="0.45">
      <c r="A9" s="65"/>
      <c r="C9" s="99" t="s">
        <v>26</v>
      </c>
      <c r="D9" s="100"/>
      <c r="E9" s="43"/>
      <c r="F9" s="43"/>
      <c r="G9" s="112" t="s">
        <v>84</v>
      </c>
      <c r="H9" s="113"/>
      <c r="I9" s="114"/>
      <c r="J9" s="65"/>
    </row>
    <row r="10" spans="1:43" ht="19.5" x14ac:dyDescent="0.3">
      <c r="A10" s="65"/>
      <c r="C10" s="107" t="s">
        <v>48</v>
      </c>
      <c r="D10" s="100"/>
      <c r="E10" s="43"/>
      <c r="F10" s="43"/>
      <c r="G10" s="110" t="s">
        <v>88</v>
      </c>
      <c r="H10" s="111"/>
      <c r="I10" s="111"/>
      <c r="J10" s="65"/>
    </row>
    <row r="11" spans="1:43" ht="19.5" x14ac:dyDescent="0.3">
      <c r="A11" s="65"/>
      <c r="C11" s="32" t="s">
        <v>61</v>
      </c>
      <c r="D11" s="34">
        <v>0</v>
      </c>
      <c r="E11" s="43"/>
      <c r="F11" s="43"/>
      <c r="J11" s="65"/>
    </row>
    <row r="12" spans="1:43" ht="19.5" x14ac:dyDescent="0.3">
      <c r="A12" s="65"/>
      <c r="C12" s="32" t="s">
        <v>62</v>
      </c>
      <c r="D12" s="34">
        <v>0</v>
      </c>
      <c r="E12" s="43"/>
      <c r="F12" s="43"/>
      <c r="J12" s="65"/>
    </row>
    <row r="13" spans="1:43" ht="19.5" x14ac:dyDescent="0.3">
      <c r="A13" s="65"/>
      <c r="C13" s="32" t="s">
        <v>63</v>
      </c>
      <c r="D13" s="34">
        <v>0</v>
      </c>
      <c r="E13" s="43"/>
      <c r="F13" s="43"/>
      <c r="J13" s="65"/>
    </row>
    <row r="14" spans="1:43" ht="19.5" x14ac:dyDescent="0.3">
      <c r="A14" s="65"/>
      <c r="C14" s="32" t="s">
        <v>28</v>
      </c>
      <c r="D14" s="35">
        <f>D15/11</f>
        <v>0</v>
      </c>
      <c r="E14" s="43"/>
      <c r="F14" s="43"/>
      <c r="J14" s="65"/>
    </row>
    <row r="15" spans="1:43" ht="19.5" x14ac:dyDescent="0.3">
      <c r="A15" s="65"/>
      <c r="C15" s="32" t="s">
        <v>0</v>
      </c>
      <c r="D15" s="35">
        <f>SUM(D11:D13)</f>
        <v>0</v>
      </c>
      <c r="E15" s="43"/>
      <c r="F15" s="43"/>
      <c r="J15" s="65"/>
    </row>
    <row r="16" spans="1:43" ht="19.5" x14ac:dyDescent="0.3">
      <c r="A16" s="65"/>
      <c r="C16" s="32" t="s">
        <v>1</v>
      </c>
      <c r="D16" s="34">
        <v>0</v>
      </c>
      <c r="E16" s="43"/>
      <c r="F16" s="43"/>
      <c r="J16" s="65"/>
    </row>
    <row r="17" spans="1:17" ht="19.5" x14ac:dyDescent="0.3">
      <c r="A17" s="65"/>
      <c r="C17" s="32" t="s">
        <v>13</v>
      </c>
      <c r="D17" s="35">
        <f>D15-D16</f>
        <v>0</v>
      </c>
      <c r="E17" s="43"/>
      <c r="F17" s="43"/>
      <c r="J17" s="65"/>
    </row>
    <row r="18" spans="1:17" ht="8.25" customHeight="1" x14ac:dyDescent="0.3">
      <c r="A18" s="65"/>
      <c r="C18" s="42"/>
      <c r="D18" s="42"/>
      <c r="E18" s="43"/>
      <c r="F18" s="43"/>
      <c r="H18" s="56"/>
      <c r="I18" s="56"/>
      <c r="J18" s="83"/>
      <c r="K18" s="56"/>
      <c r="L18" s="56"/>
      <c r="M18" s="56"/>
      <c r="N18" s="56"/>
      <c r="O18" s="56"/>
      <c r="P18" s="56"/>
      <c r="Q18" s="56"/>
    </row>
    <row r="19" spans="1:17" ht="19.5" x14ac:dyDescent="0.3">
      <c r="A19" s="65"/>
      <c r="C19" s="99" t="s">
        <v>68</v>
      </c>
      <c r="D19" s="100"/>
      <c r="E19" s="43"/>
      <c r="F19" s="43"/>
      <c r="H19" s="56"/>
      <c r="I19" s="56"/>
      <c r="J19" s="83"/>
      <c r="K19" s="56"/>
      <c r="L19" s="56"/>
      <c r="M19" s="56"/>
      <c r="N19" s="56"/>
      <c r="O19" s="56"/>
      <c r="P19" s="56"/>
      <c r="Q19" s="56"/>
    </row>
    <row r="20" spans="1:17" ht="19.5" x14ac:dyDescent="0.3">
      <c r="A20" s="65"/>
      <c r="C20" s="32" t="s">
        <v>64</v>
      </c>
      <c r="D20" s="34">
        <v>0</v>
      </c>
      <c r="E20" s="43"/>
      <c r="F20" s="43"/>
      <c r="H20" s="56"/>
      <c r="I20" s="57"/>
      <c r="J20" s="84"/>
      <c r="K20" s="57"/>
      <c r="L20" s="57"/>
      <c r="M20" s="57"/>
      <c r="N20" s="57"/>
      <c r="O20" s="57"/>
      <c r="P20" s="56"/>
      <c r="Q20" s="56"/>
    </row>
    <row r="21" spans="1:17" ht="19.5" x14ac:dyDescent="0.3">
      <c r="A21" s="65"/>
      <c r="C21" s="32" t="s">
        <v>65</v>
      </c>
      <c r="D21" s="34">
        <v>0</v>
      </c>
      <c r="E21" s="43"/>
      <c r="F21" s="43"/>
      <c r="H21" s="56"/>
      <c r="I21" s="59"/>
      <c r="J21" s="85"/>
      <c r="K21" s="58"/>
      <c r="L21" s="59"/>
      <c r="M21" s="60"/>
      <c r="N21" s="60"/>
      <c r="O21" s="60"/>
      <c r="P21" s="56"/>
      <c r="Q21" s="56"/>
    </row>
    <row r="22" spans="1:17" ht="19.5" x14ac:dyDescent="0.3">
      <c r="A22" s="65"/>
      <c r="C22" s="32" t="s">
        <v>66</v>
      </c>
      <c r="D22" s="34">
        <v>0</v>
      </c>
      <c r="E22" s="43"/>
      <c r="F22" s="43"/>
      <c r="H22" s="56"/>
      <c r="I22" s="59"/>
      <c r="J22" s="85"/>
      <c r="K22" s="58"/>
      <c r="L22" s="59"/>
      <c r="M22" s="60"/>
      <c r="N22" s="60"/>
      <c r="O22" s="60"/>
      <c r="P22" s="56"/>
      <c r="Q22" s="56"/>
    </row>
    <row r="23" spans="1:17" ht="19.5" x14ac:dyDescent="0.3">
      <c r="A23" s="65"/>
      <c r="C23" s="32" t="s">
        <v>31</v>
      </c>
      <c r="D23" s="35">
        <f>SUM(D20:D22)</f>
        <v>0</v>
      </c>
      <c r="E23" s="43"/>
      <c r="F23" s="43"/>
      <c r="H23" s="56"/>
      <c r="I23" s="61"/>
      <c r="J23" s="85"/>
      <c r="K23" s="58"/>
      <c r="L23" s="59"/>
      <c r="M23" s="60"/>
      <c r="N23" s="60"/>
      <c r="O23" s="60"/>
      <c r="P23" s="56"/>
      <c r="Q23" s="56"/>
    </row>
    <row r="24" spans="1:17" ht="9" customHeight="1" x14ac:dyDescent="0.3">
      <c r="A24" s="65"/>
      <c r="C24" s="42"/>
      <c r="D24" s="42"/>
      <c r="E24" s="42"/>
      <c r="F24" s="43"/>
      <c r="H24" s="56"/>
      <c r="I24" s="59"/>
      <c r="J24" s="85"/>
      <c r="K24" s="58"/>
      <c r="L24" s="59"/>
      <c r="M24" s="60"/>
      <c r="N24" s="60"/>
      <c r="O24" s="60"/>
      <c r="P24" s="56"/>
      <c r="Q24" s="56"/>
    </row>
    <row r="25" spans="1:17" ht="19.5" x14ac:dyDescent="0.3">
      <c r="A25" s="65"/>
      <c r="C25" s="115" t="s">
        <v>6</v>
      </c>
      <c r="D25" s="116"/>
      <c r="E25" s="117"/>
      <c r="F25" s="117"/>
      <c r="G25" s="117"/>
      <c r="H25" s="118"/>
      <c r="J25" s="65"/>
    </row>
    <row r="26" spans="1:17" ht="19.5" x14ac:dyDescent="0.3">
      <c r="A26" s="65"/>
      <c r="C26" s="32" t="s">
        <v>7</v>
      </c>
      <c r="D26" s="93">
        <f>D17</f>
        <v>0</v>
      </c>
      <c r="E26" s="93">
        <f>D17</f>
        <v>0</v>
      </c>
      <c r="F26" s="93">
        <f>D17</f>
        <v>0</v>
      </c>
      <c r="G26" s="93">
        <f>D17</f>
        <v>0</v>
      </c>
      <c r="H26" s="93">
        <f>D17</f>
        <v>0</v>
      </c>
      <c r="I26" s="42"/>
      <c r="J26" s="65"/>
    </row>
    <row r="27" spans="1:17" ht="19.5" x14ac:dyDescent="0.3">
      <c r="A27" s="65"/>
      <c r="C27" s="32" t="s">
        <v>97</v>
      </c>
      <c r="D27" s="93">
        <f>D17</f>
        <v>0</v>
      </c>
      <c r="E27" s="93">
        <f>D17+(D23*E28)</f>
        <v>0</v>
      </c>
      <c r="F27" s="93">
        <f>D17+(D23*F28)</f>
        <v>0</v>
      </c>
      <c r="G27" s="93">
        <f>D17+(D23*G28)</f>
        <v>0</v>
      </c>
      <c r="H27" s="93">
        <f>D17+(D23*H28)</f>
        <v>0</v>
      </c>
      <c r="I27" s="43"/>
      <c r="J27" s="65"/>
    </row>
    <row r="28" spans="1:17" ht="19.5" x14ac:dyDescent="0.3">
      <c r="A28" s="65"/>
      <c r="C28" s="32" t="s">
        <v>91</v>
      </c>
      <c r="D28" s="90" t="s">
        <v>90</v>
      </c>
      <c r="E28" s="90">
        <v>12</v>
      </c>
      <c r="F28" s="90">
        <v>24</v>
      </c>
      <c r="G28" s="90">
        <v>36</v>
      </c>
      <c r="H28" s="90">
        <v>48</v>
      </c>
      <c r="J28" s="65"/>
    </row>
    <row r="29" spans="1:17" ht="19.5" x14ac:dyDescent="0.3">
      <c r="A29" s="65"/>
      <c r="C29" s="32" t="s">
        <v>96</v>
      </c>
      <c r="D29" s="92">
        <v>0.125</v>
      </c>
      <c r="E29" s="92" t="str">
        <f>IF(SUM($D$20:$D$22)&gt;0, "12.50%", "No Monitoring Selected")</f>
        <v>No Monitoring Selected</v>
      </c>
      <c r="F29" s="92" t="str">
        <f t="shared" ref="F29:H29" si="0">IF(SUM($D$20:$D$22)&gt;0, "12.50%", "No Monitoring Selected")</f>
        <v>No Monitoring Selected</v>
      </c>
      <c r="G29" s="92" t="str">
        <f t="shared" si="0"/>
        <v>No Monitoring Selected</v>
      </c>
      <c r="H29" s="92" t="str">
        <f t="shared" si="0"/>
        <v>No Monitoring Selected</v>
      </c>
      <c r="I29" s="56"/>
      <c r="J29" s="65"/>
    </row>
    <row r="30" spans="1:17" ht="19.5" x14ac:dyDescent="0.3">
      <c r="A30" s="65"/>
      <c r="C30" s="32" t="s">
        <v>92</v>
      </c>
      <c r="D30" s="94">
        <f>D27*0.03</f>
        <v>0</v>
      </c>
      <c r="E30" s="94" t="str">
        <f>IF(SUM($D$20:$D$22)&gt;0, E27*0.03, "No Monitoring Selected")</f>
        <v>No Monitoring Selected</v>
      </c>
      <c r="F30" s="94" t="str">
        <f t="shared" ref="F30:H30" si="1">IF(SUM($D$20:$D$22)&gt;0, F27*0.03, "No Monitoring Selected")</f>
        <v>No Monitoring Selected</v>
      </c>
      <c r="G30" s="94" t="str">
        <f t="shared" si="1"/>
        <v>No Monitoring Selected</v>
      </c>
      <c r="H30" s="94" t="str">
        <f t="shared" si="1"/>
        <v>No Monitoring Selected</v>
      </c>
      <c r="I30" s="56"/>
      <c r="J30" s="65"/>
    </row>
    <row r="31" spans="1:17" ht="19.5" x14ac:dyDescent="0.3">
      <c r="A31" s="65"/>
      <c r="C31" s="32" t="s">
        <v>93</v>
      </c>
      <c r="D31" s="94">
        <v>10</v>
      </c>
      <c r="E31" s="94" t="str">
        <f>IF(SUM($D$20:$D$22)&gt;0, 10, "No Monitoring Selected")</f>
        <v>No Monitoring Selected</v>
      </c>
      <c r="F31" s="94" t="str">
        <f t="shared" ref="F31:H31" si="2">IF(SUM($D$20:$D$22)&gt;0, 10, "No Monitoring Selected")</f>
        <v>No Monitoring Selected</v>
      </c>
      <c r="G31" s="94" t="str">
        <f t="shared" si="2"/>
        <v>No Monitoring Selected</v>
      </c>
      <c r="H31" s="94" t="str">
        <f t="shared" si="2"/>
        <v>No Monitoring Selected</v>
      </c>
      <c r="I31" s="56"/>
      <c r="J31" s="65"/>
    </row>
    <row r="32" spans="1:17" ht="20.25" thickBot="1" x14ac:dyDescent="0.35">
      <c r="A32" s="65"/>
      <c r="C32" s="95" t="s">
        <v>94</v>
      </c>
      <c r="D32" s="96">
        <v>0</v>
      </c>
      <c r="E32" s="96" t="str">
        <f>IF(SUM($D$20:$D$22)&gt;0, $D$23, "No Monitoring Selected")</f>
        <v>No Monitoring Selected</v>
      </c>
      <c r="F32" s="96" t="str">
        <f t="shared" ref="F32:H32" si="3">IF(SUM($D$20:$D$22)&gt;0, $D$23, "No Monitoring Selected")</f>
        <v>No Monitoring Selected</v>
      </c>
      <c r="G32" s="96" t="str">
        <f t="shared" si="3"/>
        <v>No Monitoring Selected</v>
      </c>
      <c r="H32" s="96" t="str">
        <f t="shared" si="3"/>
        <v>No Monitoring Selected</v>
      </c>
      <c r="I32" s="56"/>
      <c r="J32" s="65"/>
    </row>
    <row r="33" spans="1:11" ht="20.25" thickBot="1" x14ac:dyDescent="0.35">
      <c r="A33" s="65"/>
      <c r="C33" s="97" t="s">
        <v>95</v>
      </c>
      <c r="D33" s="98">
        <f>D31+D30+D32</f>
        <v>10</v>
      </c>
      <c r="E33" s="98" t="str">
        <f>IF(SUM($D$20:$D$22)&gt;0, E31+E30+E32, "No Monitoring Selected")</f>
        <v>No Monitoring Selected</v>
      </c>
      <c r="F33" s="98" t="str">
        <f t="shared" ref="F33:H33" si="4">IF(SUM($D$20:$D$22)&gt;0, F31+F30+F32, "No Monitoring Selected")</f>
        <v>No Monitoring Selected</v>
      </c>
      <c r="G33" s="98" t="str">
        <f t="shared" si="4"/>
        <v>No Monitoring Selected</v>
      </c>
      <c r="H33" s="98" t="str">
        <f t="shared" si="4"/>
        <v>No Monitoring Selected</v>
      </c>
      <c r="J33" s="65"/>
    </row>
    <row r="34" spans="1:11" ht="10.5" customHeight="1" x14ac:dyDescent="0.3">
      <c r="A34" s="65"/>
      <c r="F34" s="79"/>
      <c r="G34" s="79"/>
      <c r="J34" s="65"/>
    </row>
    <row r="35" spans="1:11" ht="36" hidden="1" customHeight="1" thickBot="1" x14ac:dyDescent="0.35">
      <c r="A35" s="65"/>
      <c r="C35" s="104" t="s">
        <v>69</v>
      </c>
      <c r="D35" s="105"/>
      <c r="E35" s="105"/>
      <c r="F35" s="105"/>
      <c r="G35" s="105"/>
      <c r="H35" s="106"/>
      <c r="J35" s="65"/>
    </row>
    <row r="36" spans="1:11" ht="19.5" hidden="1" thickBot="1" x14ac:dyDescent="0.35">
      <c r="A36" s="65"/>
      <c r="F36" s="79"/>
      <c r="G36" s="79"/>
      <c r="I36" s="56"/>
      <c r="J36" s="65"/>
    </row>
    <row r="37" spans="1:11" ht="20.25" hidden="1" thickBot="1" x14ac:dyDescent="0.35">
      <c r="A37" s="65"/>
      <c r="C37" s="51" t="s">
        <v>21</v>
      </c>
      <c r="D37" s="64" t="e">
        <f>D23+E30</f>
        <v>#VALUE!</v>
      </c>
      <c r="E37" s="64"/>
      <c r="F37" s="64" t="e">
        <f>D23+F30</f>
        <v>#VALUE!</v>
      </c>
      <c r="G37" s="64" t="e">
        <f>D23+G30</f>
        <v>#VALUE!</v>
      </c>
      <c r="H37" s="89" t="e">
        <f>D23+H30</f>
        <v>#VALUE!</v>
      </c>
      <c r="I37" s="56"/>
      <c r="J37" s="65"/>
    </row>
    <row r="38" spans="1:11" ht="19.5" hidden="1" thickBot="1" x14ac:dyDescent="0.35">
      <c r="A38" s="65"/>
      <c r="D38" s="62"/>
      <c r="E38" s="62"/>
      <c r="F38" s="79"/>
      <c r="G38" s="79"/>
      <c r="I38" s="56"/>
      <c r="J38" s="65"/>
    </row>
    <row r="39" spans="1:11" ht="20.25" hidden="1" thickBot="1" x14ac:dyDescent="0.35">
      <c r="A39" s="65"/>
      <c r="C39" s="51" t="s">
        <v>9</v>
      </c>
      <c r="D39" s="64" t="e">
        <f>D37*12/52</f>
        <v>#VALUE!</v>
      </c>
      <c r="E39" s="64"/>
      <c r="F39" s="64" t="e">
        <f t="shared" ref="F39:H39" si="5">F37*12/52</f>
        <v>#VALUE!</v>
      </c>
      <c r="G39" s="64" t="e">
        <f t="shared" si="5"/>
        <v>#VALUE!</v>
      </c>
      <c r="H39" s="87" t="e">
        <f t="shared" si="5"/>
        <v>#VALUE!</v>
      </c>
      <c r="I39" s="88"/>
      <c r="J39" s="65"/>
    </row>
    <row r="40" spans="1:11" ht="19.5" hidden="1" thickBot="1" x14ac:dyDescent="0.35">
      <c r="A40" s="65"/>
      <c r="D40" s="62"/>
      <c r="E40" s="62"/>
      <c r="F40" s="79"/>
      <c r="G40" s="79"/>
      <c r="J40" s="65"/>
    </row>
    <row r="41" spans="1:11" ht="20.25" hidden="1" thickBot="1" x14ac:dyDescent="0.35">
      <c r="A41" s="65"/>
      <c r="C41" s="51" t="s">
        <v>19</v>
      </c>
      <c r="D41" s="64" t="e">
        <f>D39/7</f>
        <v>#VALUE!</v>
      </c>
      <c r="E41" s="64"/>
      <c r="F41" s="64" t="e">
        <f t="shared" ref="F41:H41" si="6">F39/7</f>
        <v>#VALUE!</v>
      </c>
      <c r="G41" s="64" t="e">
        <f t="shared" si="6"/>
        <v>#VALUE!</v>
      </c>
      <c r="H41" s="89" t="e">
        <f t="shared" si="6"/>
        <v>#VALUE!</v>
      </c>
      <c r="J41" s="65"/>
    </row>
    <row r="42" spans="1:11" ht="19.5" thickBot="1" x14ac:dyDescent="0.35">
      <c r="A42" s="65"/>
      <c r="B42" s="75"/>
      <c r="C42" s="75"/>
      <c r="D42" s="75"/>
      <c r="E42" s="75"/>
      <c r="F42" s="75"/>
      <c r="G42" s="75"/>
      <c r="H42" s="75"/>
      <c r="I42" s="75"/>
      <c r="J42" s="75"/>
      <c r="K42" s="88"/>
    </row>
    <row r="43" spans="1:11" x14ac:dyDescent="0.3">
      <c r="I43" s="79"/>
    </row>
    <row r="44" spans="1:11" x14ac:dyDescent="0.3">
      <c r="B44" s="63" t="s">
        <v>83</v>
      </c>
    </row>
  </sheetData>
  <sheetProtection algorithmName="SHA-512" hashValue="eHGN0vGX0jywr5n+MdJM5jzdBgBtJxCMZWk7snL+uIJf3M11enSq1pUPa/XDJ4nOeIbL1W9uUZWhNK5/FAD+2g==" saltValue="MkP6FkBY6jiD3DRB+QhYzw==" spinCount="100000" sheet="1" objects="1" scenarios="1" selectLockedCells="1"/>
  <protectedRanges>
    <protectedRange sqref="D11:E13" name="Range1"/>
  </protectedRanges>
  <mergeCells count="11">
    <mergeCell ref="C3:D3"/>
    <mergeCell ref="C5:D5"/>
    <mergeCell ref="G3:I3"/>
    <mergeCell ref="C9:D9"/>
    <mergeCell ref="C35:H35"/>
    <mergeCell ref="C10:D10"/>
    <mergeCell ref="C19:D19"/>
    <mergeCell ref="C4:D4"/>
    <mergeCell ref="G10:I10"/>
    <mergeCell ref="G9:I9"/>
    <mergeCell ref="C25:H25"/>
  </mergeCells>
  <pageMargins left="0.7" right="0.7" top="0.75" bottom="0.75" header="0.3" footer="0.3"/>
  <pageSetup paperSize="9" scale="7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O43"/>
  <sheetViews>
    <sheetView tabSelected="1" zoomScale="70" zoomScaleNormal="70" workbookViewId="0">
      <selection activeCell="D46" sqref="D46"/>
    </sheetView>
  </sheetViews>
  <sheetFormatPr defaultColWidth="9.125" defaultRowHeight="19.5" x14ac:dyDescent="0.3"/>
  <cols>
    <col min="1" max="1" width="9.125" style="37"/>
    <col min="2" max="2" width="9.125" style="42"/>
    <col min="3" max="3" width="58.875" style="42" customWidth="1"/>
    <col min="4" max="4" width="34.625" style="42" bestFit="1" customWidth="1"/>
    <col min="5" max="6" width="17.25" style="42" bestFit="1" customWidth="1"/>
    <col min="7" max="7" width="15.75" style="42" bestFit="1" customWidth="1"/>
    <col min="8" max="8" width="17.25" style="42" bestFit="1" customWidth="1"/>
    <col min="9" max="9" width="11.25" style="37" bestFit="1" customWidth="1"/>
    <col min="10" max="10" width="13" style="37" bestFit="1" customWidth="1"/>
    <col min="11" max="11" width="13.375" style="37" customWidth="1"/>
    <col min="12" max="13" width="11.625" style="37" customWidth="1"/>
    <col min="14" max="34" width="9.125" style="37"/>
    <col min="35" max="35" width="2.125" style="37" customWidth="1"/>
    <col min="36" max="36" width="7.125" style="37" hidden="1" customWidth="1"/>
    <col min="37" max="37" width="10" style="37" hidden="1" customWidth="1"/>
    <col min="38" max="38" width="7" style="37" hidden="1" customWidth="1"/>
    <col min="39" max="41" width="9.125" style="37" hidden="1" customWidth="1"/>
    <col min="42" max="16384" width="9.125" style="37"/>
  </cols>
  <sheetData>
    <row r="1" spans="1:41" ht="20.25" thickBot="1" x14ac:dyDescent="0.35">
      <c r="C1" s="66"/>
      <c r="D1" s="66"/>
      <c r="E1" s="66"/>
      <c r="F1" s="66"/>
      <c r="G1" s="66"/>
      <c r="H1" s="66"/>
      <c r="I1" s="70"/>
    </row>
    <row r="2" spans="1:41" x14ac:dyDescent="0.3">
      <c r="A2" s="69"/>
      <c r="B2" s="68"/>
      <c r="I2" s="69"/>
    </row>
    <row r="3" spans="1:41" x14ac:dyDescent="0.3">
      <c r="A3" s="69"/>
      <c r="C3" s="99" t="s">
        <v>98</v>
      </c>
      <c r="D3" s="100"/>
      <c r="E3" s="86"/>
      <c r="F3" s="102" t="s">
        <v>67</v>
      </c>
      <c r="G3" s="103"/>
      <c r="H3" s="103"/>
      <c r="I3" s="69"/>
      <c r="AJ3" s="37">
        <v>0.1</v>
      </c>
      <c r="AK3" s="37">
        <v>0.16</v>
      </c>
      <c r="AM3" s="37" t="e">
        <f>#REF!/12</f>
        <v>#REF!</v>
      </c>
      <c r="AO3" s="37">
        <v>12</v>
      </c>
    </row>
    <row r="4" spans="1:41" x14ac:dyDescent="0.3">
      <c r="A4" s="69"/>
      <c r="C4" s="108" t="s">
        <v>85</v>
      </c>
      <c r="D4" s="119"/>
      <c r="E4" s="86"/>
      <c r="F4" s="80" t="s">
        <v>36</v>
      </c>
      <c r="G4" s="30" t="s">
        <v>28</v>
      </c>
      <c r="H4" s="30" t="s">
        <v>37</v>
      </c>
      <c r="I4" s="69"/>
      <c r="AJ4" s="37">
        <v>0.06</v>
      </c>
      <c r="AK4" s="37">
        <v>0.13500000000000001</v>
      </c>
      <c r="AO4" s="37">
        <v>24</v>
      </c>
    </row>
    <row r="5" spans="1:41" x14ac:dyDescent="0.3">
      <c r="A5" s="69"/>
      <c r="C5" s="99" t="s">
        <v>71</v>
      </c>
      <c r="D5" s="101"/>
      <c r="F5" s="31">
        <f>H5-G5</f>
        <v>0</v>
      </c>
      <c r="G5" s="31">
        <f>H5/11</f>
        <v>0</v>
      </c>
      <c r="H5" s="81">
        <v>0</v>
      </c>
      <c r="I5" s="69"/>
      <c r="AJ5" s="37">
        <v>0.06</v>
      </c>
      <c r="AK5" s="37">
        <v>9.9500000000000005E-2</v>
      </c>
      <c r="AO5" s="37">
        <v>36</v>
      </c>
    </row>
    <row r="6" spans="1:41" x14ac:dyDescent="0.3">
      <c r="A6" s="69"/>
      <c r="C6" s="32" t="s">
        <v>2</v>
      </c>
      <c r="D6" s="33" t="s">
        <v>86</v>
      </c>
      <c r="I6" s="69"/>
      <c r="AJ6" s="37">
        <v>0.04</v>
      </c>
      <c r="AK6" s="37">
        <v>8.7499999999999994E-2</v>
      </c>
      <c r="AO6" s="37">
        <v>48</v>
      </c>
    </row>
    <row r="7" spans="1:41" x14ac:dyDescent="0.3">
      <c r="A7" s="69"/>
      <c r="C7" s="32" t="s">
        <v>3</v>
      </c>
      <c r="D7" s="33"/>
      <c r="I7" s="69"/>
      <c r="AJ7" s="37">
        <v>0.04</v>
      </c>
      <c r="AK7" s="37">
        <v>7.9000000000000001E-2</v>
      </c>
      <c r="AO7" s="37">
        <v>60</v>
      </c>
    </row>
    <row r="8" spans="1:41" ht="20.25" thickBot="1" x14ac:dyDescent="0.35">
      <c r="A8" s="69"/>
      <c r="F8" s="43"/>
      <c r="G8" s="43"/>
      <c r="H8" s="44"/>
      <c r="I8" s="69"/>
      <c r="AJ8" s="37">
        <v>0.03</v>
      </c>
      <c r="AK8" s="37">
        <v>7.7499999999999999E-2</v>
      </c>
    </row>
    <row r="9" spans="1:41" ht="27" thickBot="1" x14ac:dyDescent="0.45">
      <c r="A9" s="69"/>
      <c r="C9" s="99" t="s">
        <v>26</v>
      </c>
      <c r="D9" s="100"/>
      <c r="F9" s="112" t="s">
        <v>85</v>
      </c>
      <c r="G9" s="113"/>
      <c r="H9" s="114"/>
      <c r="I9" s="69"/>
      <c r="AJ9" s="37">
        <v>0.03</v>
      </c>
      <c r="AK9" s="37">
        <v>6.25E-2</v>
      </c>
    </row>
    <row r="10" spans="1:41" x14ac:dyDescent="0.3">
      <c r="A10" s="69"/>
      <c r="C10" s="107" t="s">
        <v>48</v>
      </c>
      <c r="D10" s="100"/>
      <c r="F10" s="120" t="s">
        <v>87</v>
      </c>
      <c r="G10" s="111"/>
      <c r="H10" s="111"/>
      <c r="I10" s="69"/>
    </row>
    <row r="11" spans="1:41" x14ac:dyDescent="0.3">
      <c r="A11" s="69"/>
      <c r="C11" s="32" t="s">
        <v>77</v>
      </c>
      <c r="D11" s="34">
        <v>0</v>
      </c>
      <c r="I11" s="69"/>
    </row>
    <row r="12" spans="1:41" x14ac:dyDescent="0.3">
      <c r="A12" s="69"/>
      <c r="C12" s="32" t="s">
        <v>78</v>
      </c>
      <c r="D12" s="34">
        <v>0</v>
      </c>
      <c r="I12" s="69"/>
    </row>
    <row r="13" spans="1:41" x14ac:dyDescent="0.3">
      <c r="A13" s="69"/>
      <c r="C13" s="32" t="s">
        <v>79</v>
      </c>
      <c r="D13" s="34">
        <v>0</v>
      </c>
      <c r="I13" s="69"/>
    </row>
    <row r="14" spans="1:41" x14ac:dyDescent="0.3">
      <c r="A14" s="69"/>
      <c r="C14" s="32" t="s">
        <v>89</v>
      </c>
      <c r="D14" s="35">
        <f>SUM(D11:D13)</f>
        <v>0</v>
      </c>
      <c r="I14" s="69"/>
    </row>
    <row r="15" spans="1:41" x14ac:dyDescent="0.3">
      <c r="A15" s="69"/>
      <c r="C15" s="32" t="s">
        <v>28</v>
      </c>
      <c r="D15" s="35">
        <f>SUM(D11:D13)/10</f>
        <v>0</v>
      </c>
      <c r="I15" s="69"/>
    </row>
    <row r="16" spans="1:41" x14ac:dyDescent="0.3">
      <c r="A16" s="69"/>
      <c r="C16" s="32" t="s">
        <v>0</v>
      </c>
      <c r="D16" s="35">
        <f>SUM(D11:D13)+SUM(D11:D13)*0.1</f>
        <v>0</v>
      </c>
      <c r="I16" s="69"/>
    </row>
    <row r="17" spans="1:15" x14ac:dyDescent="0.3">
      <c r="A17" s="69"/>
      <c r="C17" s="32" t="s">
        <v>1</v>
      </c>
      <c r="D17" s="34">
        <v>0</v>
      </c>
      <c r="I17" s="69"/>
    </row>
    <row r="18" spans="1:15" x14ac:dyDescent="0.3">
      <c r="A18" s="69"/>
      <c r="C18" s="32" t="s">
        <v>13</v>
      </c>
      <c r="D18" s="35">
        <f>D16-D17</f>
        <v>0</v>
      </c>
      <c r="I18" s="69"/>
    </row>
    <row r="19" spans="1:15" x14ac:dyDescent="0.3">
      <c r="A19" s="69"/>
      <c r="F19" s="45"/>
      <c r="G19" s="45"/>
      <c r="H19" s="45"/>
      <c r="I19" s="69"/>
      <c r="J19" s="38"/>
      <c r="K19" s="38"/>
      <c r="L19" s="38"/>
      <c r="M19" s="38"/>
      <c r="N19" s="38"/>
      <c r="O19" s="38"/>
    </row>
    <row r="20" spans="1:15" x14ac:dyDescent="0.3">
      <c r="A20" s="69"/>
      <c r="C20" s="99" t="s">
        <v>68</v>
      </c>
      <c r="D20" s="100"/>
      <c r="F20" s="45"/>
      <c r="G20" s="45"/>
      <c r="H20" s="45"/>
      <c r="I20" s="69"/>
      <c r="J20" s="38"/>
      <c r="K20" s="38"/>
      <c r="L20" s="38"/>
      <c r="M20" s="38"/>
      <c r="N20" s="38"/>
      <c r="O20" s="38"/>
    </row>
    <row r="21" spans="1:15" x14ac:dyDescent="0.3">
      <c r="A21" s="69"/>
      <c r="C21" s="32" t="s">
        <v>80</v>
      </c>
      <c r="D21" s="34">
        <v>0</v>
      </c>
      <c r="F21" s="45"/>
      <c r="G21" s="46"/>
      <c r="H21" s="46"/>
      <c r="I21" s="73"/>
      <c r="J21" s="39"/>
      <c r="K21" s="39"/>
      <c r="L21" s="39"/>
      <c r="M21" s="39"/>
      <c r="N21" s="38"/>
      <c r="O21" s="38"/>
    </row>
    <row r="22" spans="1:15" x14ac:dyDescent="0.3">
      <c r="A22" s="69"/>
      <c r="C22" s="32" t="s">
        <v>81</v>
      </c>
      <c r="D22" s="34">
        <v>0</v>
      </c>
      <c r="F22" s="45"/>
      <c r="G22" s="47"/>
      <c r="H22" s="48"/>
      <c r="I22" s="74"/>
      <c r="J22" s="40"/>
      <c r="K22" s="41"/>
      <c r="L22" s="41"/>
      <c r="M22" s="41"/>
      <c r="N22" s="38"/>
      <c r="O22" s="38"/>
    </row>
    <row r="23" spans="1:15" x14ac:dyDescent="0.3">
      <c r="A23" s="69"/>
      <c r="C23" s="32" t="s">
        <v>82</v>
      </c>
      <c r="D23" s="34">
        <v>0</v>
      </c>
      <c r="F23" s="45"/>
      <c r="G23" s="47"/>
      <c r="H23" s="48"/>
      <c r="I23" s="74"/>
      <c r="J23" s="40"/>
      <c r="K23" s="41"/>
      <c r="L23" s="41"/>
      <c r="M23" s="41"/>
      <c r="N23" s="38"/>
      <c r="O23" s="38"/>
    </row>
    <row r="24" spans="1:15" x14ac:dyDescent="0.3">
      <c r="A24" s="69"/>
      <c r="C24" s="32" t="s">
        <v>31</v>
      </c>
      <c r="D24" s="35">
        <f>SUM(D21:D23)</f>
        <v>0</v>
      </c>
      <c r="F24" s="45"/>
      <c r="G24" s="49"/>
      <c r="H24" s="48"/>
      <c r="I24" s="74"/>
      <c r="J24" s="40"/>
      <c r="K24" s="41"/>
      <c r="L24" s="41"/>
      <c r="M24" s="41"/>
      <c r="N24" s="38"/>
      <c r="O24" s="38"/>
    </row>
    <row r="25" spans="1:15" x14ac:dyDescent="0.3">
      <c r="A25" s="69"/>
      <c r="F25" s="45"/>
      <c r="G25" s="47"/>
      <c r="H25" s="48"/>
      <c r="I25" s="74"/>
      <c r="J25" s="40"/>
      <c r="K25" s="41"/>
      <c r="L25" s="41"/>
      <c r="M25" s="41"/>
      <c r="N25" s="38"/>
      <c r="O25" s="38"/>
    </row>
    <row r="26" spans="1:15" x14ac:dyDescent="0.3">
      <c r="A26" s="69"/>
      <c r="C26" s="99" t="s">
        <v>73</v>
      </c>
      <c r="D26" s="100"/>
      <c r="I26" s="69"/>
    </row>
    <row r="27" spans="1:15" x14ac:dyDescent="0.3">
      <c r="A27" s="69"/>
      <c r="C27" s="32" t="s">
        <v>74</v>
      </c>
      <c r="D27" s="35">
        <f>SUM(D18)-D15</f>
        <v>0</v>
      </c>
      <c r="J27" s="72"/>
    </row>
    <row r="28" spans="1:15" x14ac:dyDescent="0.3">
      <c r="A28" s="69"/>
      <c r="C28" s="32" t="s">
        <v>70</v>
      </c>
      <c r="D28" s="54">
        <v>12</v>
      </c>
      <c r="E28" s="54">
        <v>24</v>
      </c>
      <c r="F28" s="54">
        <v>36</v>
      </c>
      <c r="G28" s="54">
        <v>48</v>
      </c>
      <c r="H28" s="54">
        <v>60</v>
      </c>
      <c r="I28" s="69"/>
    </row>
    <row r="29" spans="1:15" x14ac:dyDescent="0.3">
      <c r="A29" s="69"/>
      <c r="C29" s="32" t="s">
        <v>30</v>
      </c>
      <c r="D29" s="36">
        <f>IF($D$27&lt;5001,PMT(INTEREST1/12,12,$D$27*(1+Brok1)*-1),IF($D$27&lt;10001,PMT(INTEREST2/12,12,$D$27*(1+Brok2)*-1),IF($D$27&lt;20001,PMT(INTEREST3/12,12,$D$27*(1+Brok2)*-1),IF($D$27&lt;35001,PMT(INTEREST4/12,12,$D$27*(1+Brok3)*-1),IF($D$27&lt;50001,PMT(INTEREST5/12,12,$D$27*(1+Brok3)*-1),IF($D$27&lt;60001,PMT(INTEREST6/12,12,$D$27*(1+Brok4)*-1),IF($D$27&lt;100001,PMT(INTEREST7/12,12,$D$27*(1+Brok4)*-1),"Contact Us")))))))</f>
        <v>0</v>
      </c>
      <c r="E29" s="36">
        <f>IF($D$27&lt;5001,PMT(INTEREST1/12,24,$D$27*(1+Brok1)*-1),IF($D$27&lt;10001,PMT(INTEREST2/12,24,$D$27*(1+Brok2)*-1),IF($D$27&lt;20001,PMT(INTEREST3/12,24,$D$27*(1+Brok2)*-1),IF($D$27&lt;35001,PMT(INTEREST4/12,24,$D$27*(1+Brok3)*-1),IF($D$27&lt;50001,PMT(INTEREST5/12,24,$D$27*(1+Brok3)*-1),IF($D$27&lt;60001,PMT(INTEREST6/12,24,$D$27*(1+Brok4)*-1),IF($D$27&lt;100001,PMT(INTEREST7/12,24,$D$27*(1+Brok4)*-1),"Contact Us")))))))</f>
        <v>0</v>
      </c>
      <c r="F29" s="36">
        <f>IF($D$27&lt;5001,PMT(INTEREST1/12,36,$D$27*(1+Brok1)*-1),IF($D$27&lt;10001,PMT(INTEREST2/12,36,$D$27*(1+Brok2)*-1),IF($D$27&lt;20001,PMT(INTEREST3/12,36,$D$27*(1+Brok2)*-1),IF($D$27&lt;35001,PMT(INTEREST4/12,36,$D$27*(1+Brok3)*-1),IF($D$27&lt;50001,PMT(INTEREST5/12,36,$D$27*(1+Brok3)*-1),IF($D$27&lt;60001,PMT(INTEREST6/12,36,$D$27*(1+Brok4)*-1),IF($D$27&lt;100001,PMT(INTEREST7/12,36,$D$27*(1+Brok4)*-1),"Contact Us")))))))</f>
        <v>0</v>
      </c>
      <c r="G29" s="36">
        <f>IF($D$27&lt;5001,PMT(INTEREST1/12,48,$D$27*(1+Brok1)*-1),IF($D$27&lt;10001,PMT(INTEREST2/12,48,$D$27*(1+Brok2)*-1),IF($D$27&lt;20001,PMT(INTEREST3/12,48,$D$27*(1+Brok2)*-1),IF($D$27&lt;35001,PMT(INTEREST4/12,48,$D$27*(1+Brok3)*-1),IF($D$27&lt;50001,PMT(INTEREST5/12,48,$D$27*(1+Brok3)*-1),IF($D$27&lt;60001,PMT(INTEREST6/12,48,$D$27*(1+Brok4)*-1),IF($D$27&lt;100001,PMT(INTEREST7/12,48,$D$27*(1+Brok4)*-1),"Contact Us")))))))</f>
        <v>0</v>
      </c>
      <c r="H29" s="36">
        <f>IF($D$27&lt;5001,PMT(INTEREST1/12,60,$D$27*(1+Brok1)*-1),IF($D$27&lt;10001,PMT(INTEREST2/12,60,$D$27*(1+Brok2)*-1),IF($D$27&lt;20001,PMT(INTEREST3/12,60,$D$27*(1+Brok2)*-1),IF($D$27&lt;35001,PMT(INTEREST4/12,60,$D$27*(1+Brok3)*-1),IF($D$27&lt;50001,PMT(INTEREST5/12,60,$D$27*(1+Brok3)*-1),IF($D$27&lt;60001,PMT(INTEREST6/12,60,$D$27*(1+Brok4)*-1),IF($D$27&lt;100001,PMT(INTEREST7/12,60,$D$27*(1+Brok4)*-1),"Contact Us")))))))</f>
        <v>0</v>
      </c>
      <c r="I29" s="76"/>
    </row>
    <row r="30" spans="1:15" x14ac:dyDescent="0.3">
      <c r="A30" s="69"/>
      <c r="C30" s="32" t="s">
        <v>50</v>
      </c>
      <c r="D30" s="36">
        <v>0</v>
      </c>
      <c r="E30" s="36">
        <v>0</v>
      </c>
      <c r="F30" s="36">
        <v>0</v>
      </c>
      <c r="G30" s="36">
        <v>0</v>
      </c>
      <c r="H30" s="36">
        <v>0</v>
      </c>
      <c r="I30" s="76"/>
    </row>
    <row r="31" spans="1:15" x14ac:dyDescent="0.3">
      <c r="A31" s="69"/>
      <c r="C31" s="32" t="s">
        <v>75</v>
      </c>
      <c r="D31" s="36">
        <f t="shared" ref="D31:E31" si="0">D29+D30</f>
        <v>0</v>
      </c>
      <c r="E31" s="36">
        <f t="shared" si="0"/>
        <v>0</v>
      </c>
      <c r="F31" s="36">
        <f t="shared" ref="F31" si="1">F29+F30</f>
        <v>0</v>
      </c>
      <c r="G31" s="36">
        <f>G29+G30</f>
        <v>0</v>
      </c>
      <c r="H31" s="36">
        <f>H29+H30</f>
        <v>0</v>
      </c>
      <c r="I31" s="76"/>
    </row>
    <row r="32" spans="1:15" ht="20.25" thickBot="1" x14ac:dyDescent="0.35">
      <c r="A32" s="69"/>
      <c r="I32" s="69"/>
    </row>
    <row r="33" spans="1:9" ht="20.25" thickBot="1" x14ac:dyDescent="0.35">
      <c r="A33" s="69"/>
      <c r="C33" s="51" t="s">
        <v>76</v>
      </c>
      <c r="D33" s="52">
        <f>D31+$D$24</f>
        <v>0</v>
      </c>
      <c r="E33" s="52">
        <f t="shared" ref="E33:H33" si="2">E31+$D$24</f>
        <v>0</v>
      </c>
      <c r="F33" s="52">
        <f>F31+$D$24</f>
        <v>0</v>
      </c>
      <c r="G33" s="52">
        <f>G31+$D$24</f>
        <v>0</v>
      </c>
      <c r="H33" s="53">
        <f t="shared" si="2"/>
        <v>0</v>
      </c>
      <c r="I33" s="69"/>
    </row>
    <row r="34" spans="1:9" ht="20.25" thickBot="1" x14ac:dyDescent="0.35">
      <c r="A34" s="69"/>
      <c r="I34" s="69"/>
    </row>
    <row r="35" spans="1:9" ht="20.25" thickBot="1" x14ac:dyDescent="0.35">
      <c r="A35" s="69"/>
      <c r="C35" s="51" t="s">
        <v>9</v>
      </c>
      <c r="D35" s="52">
        <f>D33*12/52</f>
        <v>0</v>
      </c>
      <c r="E35" s="52">
        <f t="shared" ref="E35:H35" si="3">E33*12/52</f>
        <v>0</v>
      </c>
      <c r="F35" s="52">
        <f t="shared" si="3"/>
        <v>0</v>
      </c>
      <c r="G35" s="52">
        <f t="shared" si="3"/>
        <v>0</v>
      </c>
      <c r="H35" s="53">
        <f t="shared" si="3"/>
        <v>0</v>
      </c>
      <c r="I35" s="69"/>
    </row>
    <row r="36" spans="1:9" ht="20.25" thickBot="1" x14ac:dyDescent="0.35">
      <c r="A36" s="69"/>
      <c r="D36" s="50"/>
      <c r="E36" s="50"/>
      <c r="F36" s="50"/>
      <c r="G36" s="50"/>
      <c r="H36" s="50"/>
      <c r="I36" s="69"/>
    </row>
    <row r="37" spans="1:9" ht="20.25" thickBot="1" x14ac:dyDescent="0.35">
      <c r="A37" s="69"/>
      <c r="C37" s="51" t="s">
        <v>19</v>
      </c>
      <c r="D37" s="52">
        <f>D35/7</f>
        <v>0</v>
      </c>
      <c r="E37" s="52">
        <f t="shared" ref="E37:H37" si="4">E35/7</f>
        <v>0</v>
      </c>
      <c r="F37" s="52">
        <f t="shared" si="4"/>
        <v>0</v>
      </c>
      <c r="G37" s="52">
        <f t="shared" si="4"/>
        <v>0</v>
      </c>
      <c r="H37" s="53">
        <f t="shared" si="4"/>
        <v>0</v>
      </c>
      <c r="I37" s="69"/>
    </row>
    <row r="38" spans="1:9" ht="20.25" thickBot="1" x14ac:dyDescent="0.35">
      <c r="A38" s="69"/>
      <c r="B38" s="67"/>
      <c r="C38" s="66"/>
      <c r="D38" s="66"/>
      <c r="E38" s="66"/>
      <c r="F38" s="66"/>
      <c r="G38" s="66"/>
      <c r="H38" s="66"/>
      <c r="I38" s="71"/>
    </row>
    <row r="39" spans="1:9" x14ac:dyDescent="0.3">
      <c r="B39" s="37"/>
    </row>
    <row r="40" spans="1:9" x14ac:dyDescent="0.3">
      <c r="B40" s="63" t="s">
        <v>99</v>
      </c>
    </row>
    <row r="41" spans="1:9" x14ac:dyDescent="0.3">
      <c r="B41" s="42" t="s">
        <v>100</v>
      </c>
    </row>
    <row r="43" spans="1:9" x14ac:dyDescent="0.3">
      <c r="B43" s="42" t="s">
        <v>101</v>
      </c>
    </row>
  </sheetData>
  <sheetProtection algorithmName="SHA-512" hashValue="4x2dr8pdOOFmZeWTSEefnoBtdyVf95FwtO41V1b0kj7hy7aOWSmcW/on43Db2EFNNobjB+fn2LmIGpJNK3viXg==" saltValue="U2dtHkqhVKAJCCUKuv+Qrw==" spinCount="100000" sheet="1" objects="1" scenarios="1" selectLockedCells="1"/>
  <protectedRanges>
    <protectedRange sqref="D11:D14" name="Range1"/>
  </protectedRanges>
  <dataConsolidate/>
  <mergeCells count="10">
    <mergeCell ref="F9:H9"/>
    <mergeCell ref="C20:D20"/>
    <mergeCell ref="C26:D26"/>
    <mergeCell ref="C3:D3"/>
    <mergeCell ref="C4:D4"/>
    <mergeCell ref="C5:D5"/>
    <mergeCell ref="C9:D9"/>
    <mergeCell ref="C10:D10"/>
    <mergeCell ref="F10:H10"/>
    <mergeCell ref="F3:H3"/>
  </mergeCells>
  <pageMargins left="0.7" right="0.7" top="0.75" bottom="0.75" header="0.3" footer="0.3"/>
  <pageSetup paperSize="9" scale="64" orientation="landscape" r:id="rId1"/>
  <ignoredErrors>
    <ignoredError sqref="D14"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40"/>
  <sheetViews>
    <sheetView topLeftCell="A4" zoomScale="70" zoomScaleNormal="70" workbookViewId="0">
      <selection activeCell="D22" sqref="A22:D22"/>
    </sheetView>
  </sheetViews>
  <sheetFormatPr defaultColWidth="9.125" defaultRowHeight="18.75" x14ac:dyDescent="0.3"/>
  <cols>
    <col min="1" max="1" width="44.75" style="3" customWidth="1"/>
    <col min="2" max="2" width="25.875" style="3" customWidth="1"/>
    <col min="3" max="7" width="9.125" style="3"/>
    <col min="8" max="8" width="12.75" style="3" bestFit="1" customWidth="1"/>
    <col min="9" max="9" width="14.25" style="3" customWidth="1"/>
    <col min="10" max="10" width="14.75" style="3" bestFit="1" customWidth="1"/>
    <col min="11" max="11" width="11.25" style="3" bestFit="1" customWidth="1"/>
    <col min="12" max="12" width="13" style="3" bestFit="1" customWidth="1"/>
    <col min="13" max="13" width="23" style="3" bestFit="1" customWidth="1"/>
    <col min="14" max="14" width="16.875" style="3" bestFit="1" customWidth="1"/>
    <col min="15" max="15" width="18.125" style="3" bestFit="1" customWidth="1"/>
    <col min="16" max="16" width="12" style="3" bestFit="1" customWidth="1"/>
    <col min="17" max="17" width="10.25" style="3" bestFit="1" customWidth="1"/>
    <col min="18" max="16384" width="9.125" style="3"/>
  </cols>
  <sheetData>
    <row r="1" spans="1:43" x14ac:dyDescent="0.3">
      <c r="A1" s="2" t="s">
        <v>11</v>
      </c>
      <c r="AO1" s="3">
        <f>B28/12</f>
        <v>1.0416666666666666E-2</v>
      </c>
      <c r="AQ1" s="3">
        <v>12</v>
      </c>
    </row>
    <row r="2" spans="1:43" x14ac:dyDescent="0.3">
      <c r="H2" s="13" t="s">
        <v>36</v>
      </c>
      <c r="I2" s="13" t="s">
        <v>28</v>
      </c>
      <c r="J2" s="13" t="s">
        <v>37</v>
      </c>
      <c r="AQ2" s="3">
        <v>24</v>
      </c>
    </row>
    <row r="3" spans="1:43" x14ac:dyDescent="0.3">
      <c r="A3" s="4" t="s">
        <v>2</v>
      </c>
      <c r="B3" s="4" t="s">
        <v>34</v>
      </c>
      <c r="H3" s="14">
        <v>457.82</v>
      </c>
      <c r="I3" s="14">
        <f>H3*0.1</f>
        <v>45.782000000000004</v>
      </c>
      <c r="J3" s="14">
        <f>I3+H3</f>
        <v>503.60199999999998</v>
      </c>
      <c r="AQ3" s="3">
        <v>36</v>
      </c>
    </row>
    <row r="4" spans="1:43" x14ac:dyDescent="0.3">
      <c r="A4" s="4" t="s">
        <v>3</v>
      </c>
      <c r="B4" s="4" t="s">
        <v>15</v>
      </c>
      <c r="I4" s="15"/>
      <c r="AQ4" s="3">
        <v>48</v>
      </c>
    </row>
    <row r="5" spans="1:43" x14ac:dyDescent="0.3">
      <c r="A5" s="4" t="s">
        <v>4</v>
      </c>
      <c r="B5" s="5" t="s">
        <v>16</v>
      </c>
    </row>
    <row r="6" spans="1:43" x14ac:dyDescent="0.3">
      <c r="A6" s="4" t="s">
        <v>5</v>
      </c>
      <c r="B6" s="1" t="s">
        <v>35</v>
      </c>
      <c r="J6" s="6"/>
    </row>
    <row r="8" spans="1:43" x14ac:dyDescent="0.3">
      <c r="A8" s="2" t="s">
        <v>26</v>
      </c>
      <c r="E8" s="3" t="s">
        <v>12</v>
      </c>
      <c r="M8" s="29" t="s">
        <v>59</v>
      </c>
      <c r="N8" s="29" t="s">
        <v>54</v>
      </c>
      <c r="O8" s="29" t="s">
        <v>55</v>
      </c>
      <c r="P8" s="29" t="s">
        <v>56</v>
      </c>
      <c r="Q8" s="29" t="s">
        <v>57</v>
      </c>
      <c r="R8" s="29" t="s">
        <v>58</v>
      </c>
    </row>
    <row r="9" spans="1:43" x14ac:dyDescent="0.3">
      <c r="A9" s="3" t="s">
        <v>48</v>
      </c>
      <c r="I9" s="3" t="s">
        <v>51</v>
      </c>
      <c r="M9" s="13" t="s">
        <v>51</v>
      </c>
      <c r="N9" s="14">
        <v>457.82</v>
      </c>
      <c r="O9" s="14">
        <f>N9*1.1</f>
        <v>503.60200000000003</v>
      </c>
      <c r="P9" s="14">
        <v>23.39</v>
      </c>
      <c r="Q9" s="14">
        <v>5.4</v>
      </c>
      <c r="R9" s="14">
        <v>0.77</v>
      </c>
    </row>
    <row r="10" spans="1:43" x14ac:dyDescent="0.3">
      <c r="A10" s="4" t="s">
        <v>32</v>
      </c>
      <c r="B10" s="7">
        <v>579.96</v>
      </c>
      <c r="M10" s="13" t="s">
        <v>52</v>
      </c>
      <c r="N10" s="14">
        <v>479.43</v>
      </c>
      <c r="O10" s="14">
        <f t="shared" ref="O10:O11" si="0">N10*1.1</f>
        <v>527.37300000000005</v>
      </c>
      <c r="P10" s="14">
        <v>24.02</v>
      </c>
      <c r="Q10" s="14">
        <v>5.54</v>
      </c>
      <c r="R10" s="14">
        <v>0.79</v>
      </c>
    </row>
    <row r="11" spans="1:43" x14ac:dyDescent="0.3">
      <c r="A11" s="4" t="s">
        <v>33</v>
      </c>
      <c r="B11" s="7">
        <v>0</v>
      </c>
      <c r="M11" s="13" t="s">
        <v>53</v>
      </c>
      <c r="N11" s="14">
        <v>527.24</v>
      </c>
      <c r="O11" s="14">
        <f t="shared" si="0"/>
        <v>579.96400000000006</v>
      </c>
      <c r="P11" s="14">
        <v>25.42</v>
      </c>
      <c r="Q11" s="14">
        <v>5.87</v>
      </c>
      <c r="R11" s="14">
        <v>0.84</v>
      </c>
    </row>
    <row r="12" spans="1:43" x14ac:dyDescent="0.3">
      <c r="A12" s="4" t="s">
        <v>27</v>
      </c>
      <c r="B12" s="7">
        <v>0</v>
      </c>
    </row>
    <row r="13" spans="1:43" x14ac:dyDescent="0.3">
      <c r="A13" s="4" t="s">
        <v>28</v>
      </c>
      <c r="B13" s="7">
        <f>B14/11</f>
        <v>52.723636363636366</v>
      </c>
    </row>
    <row r="14" spans="1:43" x14ac:dyDescent="0.3">
      <c r="A14" s="4" t="s">
        <v>0</v>
      </c>
      <c r="B14" s="7">
        <f>SUM(B10:B12)</f>
        <v>579.96</v>
      </c>
    </row>
    <row r="15" spans="1:43" x14ac:dyDescent="0.3">
      <c r="A15" s="4" t="s">
        <v>1</v>
      </c>
      <c r="B15" s="7">
        <v>0</v>
      </c>
    </row>
    <row r="16" spans="1:43" x14ac:dyDescent="0.3">
      <c r="A16" s="4" t="s">
        <v>13</v>
      </c>
      <c r="B16" s="7">
        <f>B14-B15</f>
        <v>579.96</v>
      </c>
      <c r="H16" s="22"/>
      <c r="I16" s="22"/>
      <c r="J16" s="22"/>
      <c r="K16" s="22"/>
      <c r="L16" s="22"/>
      <c r="M16" s="22"/>
      <c r="N16" s="22"/>
      <c r="O16" s="22"/>
      <c r="P16" s="22"/>
      <c r="Q16" s="22"/>
    </row>
    <row r="17" spans="1:17" x14ac:dyDescent="0.3">
      <c r="H17" s="22"/>
      <c r="I17" s="22"/>
      <c r="J17" s="22"/>
      <c r="K17" s="22"/>
      <c r="L17" s="22"/>
      <c r="M17" s="22"/>
      <c r="N17" s="22"/>
      <c r="O17" s="22"/>
      <c r="P17" s="22"/>
      <c r="Q17" s="22"/>
    </row>
    <row r="18" spans="1:17" ht="40.5" customHeight="1" x14ac:dyDescent="0.3">
      <c r="A18" s="2" t="s">
        <v>22</v>
      </c>
      <c r="H18" s="22"/>
      <c r="I18" s="23"/>
      <c r="J18" s="23"/>
      <c r="K18" s="23"/>
      <c r="L18" s="23"/>
      <c r="M18" s="23"/>
      <c r="N18" s="23"/>
      <c r="O18" s="23"/>
      <c r="P18" s="22"/>
      <c r="Q18" s="22"/>
    </row>
    <row r="19" spans="1:17" x14ac:dyDescent="0.3">
      <c r="A19" s="4" t="s">
        <v>23</v>
      </c>
      <c r="B19" s="7">
        <v>0</v>
      </c>
      <c r="H19" s="22"/>
      <c r="I19" s="24"/>
      <c r="J19" s="25"/>
      <c r="K19" s="25"/>
      <c r="L19" s="24"/>
      <c r="M19" s="26"/>
      <c r="N19" s="26"/>
      <c r="O19" s="26"/>
      <c r="P19" s="22"/>
      <c r="Q19" s="22"/>
    </row>
    <row r="20" spans="1:17" x14ac:dyDescent="0.3">
      <c r="A20" s="4" t="s">
        <v>24</v>
      </c>
      <c r="B20" s="7">
        <v>0</v>
      </c>
      <c r="H20" s="22"/>
      <c r="I20" s="24"/>
      <c r="J20" s="25"/>
      <c r="K20" s="25"/>
      <c r="L20" s="24"/>
      <c r="M20" s="26"/>
      <c r="N20" s="26"/>
      <c r="O20" s="26"/>
      <c r="P20" s="22"/>
      <c r="Q20" s="22"/>
    </row>
    <row r="21" spans="1:17" x14ac:dyDescent="0.3">
      <c r="A21" s="4" t="s">
        <v>49</v>
      </c>
      <c r="B21" s="7">
        <v>0</v>
      </c>
      <c r="H21" s="22"/>
      <c r="I21" s="27"/>
      <c r="J21" s="25"/>
      <c r="K21" s="25"/>
      <c r="L21" s="24"/>
      <c r="M21" s="26"/>
      <c r="N21" s="26"/>
      <c r="O21" s="26"/>
      <c r="P21" s="22"/>
      <c r="Q21" s="22"/>
    </row>
    <row r="22" spans="1:17" x14ac:dyDescent="0.3">
      <c r="A22" s="4" t="s">
        <v>31</v>
      </c>
      <c r="B22" s="7">
        <f>SUM(B19:B21)</f>
        <v>0</v>
      </c>
      <c r="H22" s="22"/>
      <c r="I22" s="24"/>
      <c r="J22" s="25"/>
      <c r="K22" s="25"/>
      <c r="L22" s="24"/>
      <c r="M22" s="26"/>
      <c r="N22" s="26"/>
      <c r="O22" s="26"/>
      <c r="P22" s="22"/>
      <c r="Q22" s="22"/>
    </row>
    <row r="24" spans="1:17" x14ac:dyDescent="0.3">
      <c r="A24" s="2" t="s">
        <v>6</v>
      </c>
    </row>
    <row r="25" spans="1:17" x14ac:dyDescent="0.3">
      <c r="A25" s="4" t="s">
        <v>7</v>
      </c>
      <c r="B25" s="7">
        <f>B16</f>
        <v>579.96</v>
      </c>
    </row>
    <row r="26" spans="1:17" x14ac:dyDescent="0.3">
      <c r="A26" s="4" t="s">
        <v>20</v>
      </c>
      <c r="B26" s="8">
        <f>((B19+B20+B21)*B27)+B25</f>
        <v>579.96</v>
      </c>
    </row>
    <row r="27" spans="1:17" x14ac:dyDescent="0.3">
      <c r="A27" s="4" t="s">
        <v>14</v>
      </c>
      <c r="B27" s="4">
        <v>48</v>
      </c>
    </row>
    <row r="28" spans="1:17" x14ac:dyDescent="0.3">
      <c r="A28" s="4" t="s">
        <v>17</v>
      </c>
      <c r="B28" s="9">
        <v>0.125</v>
      </c>
    </row>
    <row r="29" spans="1:17" x14ac:dyDescent="0.3">
      <c r="A29" s="4" t="s">
        <v>29</v>
      </c>
      <c r="B29" s="9">
        <v>0.19259999999999999</v>
      </c>
    </row>
    <row r="30" spans="1:17" x14ac:dyDescent="0.3">
      <c r="A30" s="4" t="s">
        <v>30</v>
      </c>
      <c r="B30" s="10">
        <f>PMT(Interest,B27,B25)*-1</f>
        <v>15.41533615727162</v>
      </c>
    </row>
    <row r="31" spans="1:17" x14ac:dyDescent="0.3">
      <c r="A31" s="4" t="s">
        <v>50</v>
      </c>
      <c r="B31" s="10">
        <v>10</v>
      </c>
      <c r="D31" s="12"/>
    </row>
    <row r="32" spans="1:17" x14ac:dyDescent="0.3">
      <c r="A32" s="4" t="s">
        <v>8</v>
      </c>
      <c r="B32" s="10">
        <f>B30+B31</f>
        <v>25.415336157271618</v>
      </c>
    </row>
    <row r="33" spans="1:2" x14ac:dyDescent="0.3">
      <c r="A33" s="4" t="s">
        <v>10</v>
      </c>
      <c r="B33" s="10">
        <f>B32*B27</f>
        <v>1219.9361355490378</v>
      </c>
    </row>
    <row r="35" spans="1:2" x14ac:dyDescent="0.3">
      <c r="B35" s="21"/>
    </row>
    <row r="36" spans="1:2" x14ac:dyDescent="0.3">
      <c r="A36" s="11" t="s">
        <v>21</v>
      </c>
      <c r="B36" s="28">
        <f>B22+B32</f>
        <v>25.415336157271618</v>
      </c>
    </row>
    <row r="37" spans="1:2" x14ac:dyDescent="0.3">
      <c r="B37" s="21"/>
    </row>
    <row r="38" spans="1:2" x14ac:dyDescent="0.3">
      <c r="A38" s="11" t="s">
        <v>9</v>
      </c>
      <c r="B38" s="28">
        <f>B36*12/52</f>
        <v>5.8650775747549897</v>
      </c>
    </row>
    <row r="39" spans="1:2" x14ac:dyDescent="0.3">
      <c r="B39" s="21"/>
    </row>
    <row r="40" spans="1:2" x14ac:dyDescent="0.3">
      <c r="A40" s="11" t="s">
        <v>19</v>
      </c>
      <c r="B40" s="28">
        <f>B38/7</f>
        <v>0.83786822496499858</v>
      </c>
    </row>
  </sheetData>
  <dataValidations count="1">
    <dataValidation type="list" allowBlank="1" showInputMessage="1" showErrorMessage="1" sqref="B27">
      <formula1>FinancePeriod</formula1>
    </dataValidation>
  </dataValidations>
  <hyperlinks>
    <hyperlink ref="B6" r:id="rId1"/>
  </hyperlinks>
  <pageMargins left="0.7" right="0.7" top="0.75" bottom="0.75" header="0.3" footer="0.3"/>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39"/>
  <sheetViews>
    <sheetView zoomScale="70" zoomScaleNormal="70" workbookViewId="0">
      <selection activeCell="G15" sqref="G15:M19"/>
    </sheetView>
  </sheetViews>
  <sheetFormatPr defaultColWidth="9.125" defaultRowHeight="18.75" x14ac:dyDescent="0.3"/>
  <cols>
    <col min="1" max="1" width="44.75" style="3" customWidth="1"/>
    <col min="2" max="2" width="25.875" style="3" customWidth="1"/>
    <col min="3" max="7" width="9.125" style="3"/>
    <col min="8" max="10" width="12.75" style="3" bestFit="1" customWidth="1"/>
    <col min="11" max="11" width="12" style="3" bestFit="1" customWidth="1"/>
    <col min="12" max="16384" width="9.125" style="3"/>
  </cols>
  <sheetData>
    <row r="1" spans="1:43" x14ac:dyDescent="0.3">
      <c r="A1" s="2" t="s">
        <v>11</v>
      </c>
      <c r="AO1" s="3">
        <f>B27/12</f>
        <v>1.0416666666666666E-2</v>
      </c>
      <c r="AQ1" s="3">
        <v>12</v>
      </c>
    </row>
    <row r="2" spans="1:43" x14ac:dyDescent="0.3">
      <c r="H2" s="13" t="s">
        <v>36</v>
      </c>
      <c r="I2" s="13" t="s">
        <v>28</v>
      </c>
      <c r="J2" s="13" t="s">
        <v>37</v>
      </c>
      <c r="AQ2" s="3">
        <v>24</v>
      </c>
    </row>
    <row r="3" spans="1:43" x14ac:dyDescent="0.3">
      <c r="A3" s="4" t="s">
        <v>2</v>
      </c>
      <c r="B3" s="4" t="s">
        <v>34</v>
      </c>
      <c r="H3" s="14">
        <v>3803</v>
      </c>
      <c r="I3" s="14">
        <f>H3*0.1</f>
        <v>380.3</v>
      </c>
      <c r="J3" s="14">
        <f>I3+H3</f>
        <v>4183.3</v>
      </c>
      <c r="AQ3" s="3">
        <v>36</v>
      </c>
    </row>
    <row r="4" spans="1:43" x14ac:dyDescent="0.3">
      <c r="A4" s="4" t="s">
        <v>3</v>
      </c>
      <c r="B4" s="4" t="s">
        <v>15</v>
      </c>
      <c r="I4" s="15"/>
      <c r="AQ4" s="3">
        <v>48</v>
      </c>
    </row>
    <row r="5" spans="1:43" x14ac:dyDescent="0.3">
      <c r="A5" s="4" t="s">
        <v>4</v>
      </c>
      <c r="B5" s="5" t="s">
        <v>16</v>
      </c>
    </row>
    <row r="6" spans="1:43" x14ac:dyDescent="0.3">
      <c r="A6" s="4" t="s">
        <v>5</v>
      </c>
      <c r="B6" s="1" t="s">
        <v>35</v>
      </c>
      <c r="J6" s="6"/>
    </row>
    <row r="8" spans="1:43" x14ac:dyDescent="0.3">
      <c r="A8" s="2" t="s">
        <v>26</v>
      </c>
      <c r="E8" s="3" t="s">
        <v>12</v>
      </c>
    </row>
    <row r="9" spans="1:43" x14ac:dyDescent="0.3">
      <c r="A9" s="4" t="s">
        <v>32</v>
      </c>
      <c r="B9" s="7">
        <v>2304.5</v>
      </c>
    </row>
    <row r="10" spans="1:43" x14ac:dyDescent="0.3">
      <c r="A10" s="4" t="s">
        <v>33</v>
      </c>
      <c r="B10" s="7">
        <v>1878.8</v>
      </c>
    </row>
    <row r="11" spans="1:43" x14ac:dyDescent="0.3">
      <c r="A11" s="4" t="s">
        <v>27</v>
      </c>
      <c r="B11" s="7">
        <v>0</v>
      </c>
    </row>
    <row r="12" spans="1:43" x14ac:dyDescent="0.3">
      <c r="A12" s="4" t="s">
        <v>28</v>
      </c>
      <c r="B12" s="7">
        <f>B13/11</f>
        <v>380.3</v>
      </c>
    </row>
    <row r="13" spans="1:43" x14ac:dyDescent="0.3">
      <c r="A13" s="4" t="s">
        <v>0</v>
      </c>
      <c r="B13" s="7">
        <f>SUM(B9:B11)</f>
        <v>4183.3</v>
      </c>
    </row>
    <row r="14" spans="1:43" x14ac:dyDescent="0.3">
      <c r="A14" s="4" t="s">
        <v>1</v>
      </c>
      <c r="B14" s="7">
        <v>0</v>
      </c>
    </row>
    <row r="15" spans="1:43" ht="56.25" x14ac:dyDescent="0.3">
      <c r="A15" s="4" t="s">
        <v>13</v>
      </c>
      <c r="B15" s="7">
        <f>B13-B14</f>
        <v>4183.3</v>
      </c>
      <c r="G15" s="19" t="s">
        <v>47</v>
      </c>
      <c r="H15" s="19" t="s">
        <v>38</v>
      </c>
      <c r="I15" s="19" t="s">
        <v>39</v>
      </c>
      <c r="J15" s="19" t="s">
        <v>40</v>
      </c>
      <c r="K15" s="20" t="s">
        <v>42</v>
      </c>
      <c r="L15" s="20" t="s">
        <v>43</v>
      </c>
      <c r="M15" s="20" t="s">
        <v>19</v>
      </c>
    </row>
    <row r="16" spans="1:43" x14ac:dyDescent="0.3">
      <c r="G16" s="13" t="s">
        <v>34</v>
      </c>
      <c r="H16" s="17">
        <v>3803</v>
      </c>
      <c r="I16" s="17">
        <f>H16*1.1</f>
        <v>4183.3</v>
      </c>
      <c r="J16" s="13" t="s">
        <v>41</v>
      </c>
      <c r="K16" s="18">
        <v>121.19</v>
      </c>
      <c r="L16" s="18">
        <v>27.97</v>
      </c>
      <c r="M16" s="18">
        <v>4</v>
      </c>
    </row>
    <row r="17" spans="1:13" x14ac:dyDescent="0.3">
      <c r="A17" s="2" t="s">
        <v>22</v>
      </c>
      <c r="G17" s="13" t="s">
        <v>44</v>
      </c>
      <c r="H17" s="17">
        <v>4135.2</v>
      </c>
      <c r="I17" s="17">
        <f>H17*1.1</f>
        <v>4548.72</v>
      </c>
      <c r="J17" s="13" t="s">
        <v>41</v>
      </c>
      <c r="K17" s="18">
        <v>130.9</v>
      </c>
      <c r="L17" s="18">
        <v>30.21</v>
      </c>
      <c r="M17" s="18">
        <v>4.32</v>
      </c>
    </row>
    <row r="18" spans="1:13" ht="56.25" x14ac:dyDescent="0.3">
      <c r="A18" s="4" t="s">
        <v>23</v>
      </c>
      <c r="B18" s="7">
        <v>0</v>
      </c>
      <c r="G18" s="16" t="s">
        <v>45</v>
      </c>
      <c r="H18" s="17">
        <v>6802.6</v>
      </c>
      <c r="I18" s="17">
        <f>H18*1.1</f>
        <v>7482.8600000000006</v>
      </c>
      <c r="J18" s="13" t="s">
        <v>41</v>
      </c>
      <c r="K18" s="18">
        <v>208.89</v>
      </c>
      <c r="L18" s="18">
        <v>48.21</v>
      </c>
      <c r="M18" s="18">
        <v>6.89</v>
      </c>
    </row>
    <row r="19" spans="1:13" x14ac:dyDescent="0.3">
      <c r="A19" s="4" t="s">
        <v>24</v>
      </c>
      <c r="B19" s="7">
        <v>0</v>
      </c>
      <c r="G19" s="13" t="s">
        <v>46</v>
      </c>
      <c r="H19" s="17">
        <v>7938.2</v>
      </c>
      <c r="I19" s="17">
        <f>H19*1.1</f>
        <v>8732.02</v>
      </c>
      <c r="J19" s="13" t="s">
        <v>41</v>
      </c>
      <c r="K19" s="18">
        <v>242.1</v>
      </c>
      <c r="L19" s="18">
        <v>55.87</v>
      </c>
      <c r="M19" s="18">
        <v>7.98</v>
      </c>
    </row>
    <row r="20" spans="1:13" x14ac:dyDescent="0.3">
      <c r="A20" s="4" t="s">
        <v>25</v>
      </c>
      <c r="B20" s="7">
        <v>0</v>
      </c>
    </row>
    <row r="21" spans="1:13" x14ac:dyDescent="0.3">
      <c r="A21" s="4" t="s">
        <v>31</v>
      </c>
      <c r="B21" s="7">
        <f>SUM(B18:B20)</f>
        <v>0</v>
      </c>
    </row>
    <row r="23" spans="1:13" x14ac:dyDescent="0.3">
      <c r="A23" s="2" t="s">
        <v>6</v>
      </c>
    </row>
    <row r="24" spans="1:13" x14ac:dyDescent="0.3">
      <c r="A24" s="4" t="s">
        <v>7</v>
      </c>
      <c r="B24" s="7">
        <f>B15</f>
        <v>4183.3</v>
      </c>
    </row>
    <row r="25" spans="1:13" x14ac:dyDescent="0.3">
      <c r="A25" s="4" t="s">
        <v>20</v>
      </c>
      <c r="B25" s="8">
        <f>((B18+B19+B20)*B26)+B24</f>
        <v>4183.3</v>
      </c>
    </row>
    <row r="26" spans="1:13" x14ac:dyDescent="0.3">
      <c r="A26" s="4" t="s">
        <v>14</v>
      </c>
      <c r="B26" s="4">
        <v>48</v>
      </c>
    </row>
    <row r="27" spans="1:13" x14ac:dyDescent="0.3">
      <c r="A27" s="4" t="s">
        <v>17</v>
      </c>
      <c r="B27" s="9">
        <v>0.125</v>
      </c>
    </row>
    <row r="28" spans="1:13" x14ac:dyDescent="0.3">
      <c r="A28" s="4" t="s">
        <v>29</v>
      </c>
      <c r="B28" s="9">
        <v>0.19259999999999999</v>
      </c>
    </row>
    <row r="29" spans="1:13" x14ac:dyDescent="0.3">
      <c r="A29" s="4" t="s">
        <v>30</v>
      </c>
      <c r="B29" s="10">
        <f>PMT(Interest,B26,B24)*-1</f>
        <v>111.1921093639464</v>
      </c>
    </row>
    <row r="30" spans="1:13" x14ac:dyDescent="0.3">
      <c r="A30" s="4" t="s">
        <v>18</v>
      </c>
      <c r="B30" s="10">
        <v>10</v>
      </c>
      <c r="D30" s="12"/>
    </row>
    <row r="31" spans="1:13" x14ac:dyDescent="0.3">
      <c r="A31" s="4" t="s">
        <v>8</v>
      </c>
      <c r="B31" s="10">
        <f>B29+B30</f>
        <v>121.1921093639464</v>
      </c>
    </row>
    <row r="32" spans="1:13" x14ac:dyDescent="0.3">
      <c r="A32" s="4" t="s">
        <v>10</v>
      </c>
      <c r="B32" s="10">
        <f>B31*B26</f>
        <v>5817.2212494694268</v>
      </c>
    </row>
    <row r="35" spans="1:2" x14ac:dyDescent="0.3">
      <c r="A35" s="11" t="s">
        <v>21</v>
      </c>
      <c r="B35" s="10">
        <f>B21+B31</f>
        <v>121.1921093639464</v>
      </c>
    </row>
    <row r="37" spans="1:2" x14ac:dyDescent="0.3">
      <c r="A37" s="11" t="s">
        <v>9</v>
      </c>
      <c r="B37" s="10">
        <f>B35*12/52</f>
        <v>27.967409853218399</v>
      </c>
    </row>
    <row r="39" spans="1:2" x14ac:dyDescent="0.3">
      <c r="A39" s="11" t="s">
        <v>19</v>
      </c>
      <c r="B39" s="10">
        <f>B37/7</f>
        <v>3.9953442647454858</v>
      </c>
    </row>
  </sheetData>
  <dataValidations count="1">
    <dataValidation type="list" allowBlank="1" showInputMessage="1" showErrorMessage="1" sqref="B26">
      <formula1>FinancePeriod</formula1>
    </dataValidation>
  </dataValidations>
  <hyperlinks>
    <hyperlink ref="B6"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21</vt:i4>
      </vt:variant>
    </vt:vector>
  </HeadingPairs>
  <TitlesOfParts>
    <vt:vector size="25" baseType="lpstr">
      <vt:lpstr>Consumer</vt:lpstr>
      <vt:lpstr>Commercial</vt:lpstr>
      <vt:lpstr>Original (2)</vt:lpstr>
      <vt:lpstr>Figures for JV</vt:lpstr>
      <vt:lpstr>Brok1</vt:lpstr>
      <vt:lpstr>Brok2</vt:lpstr>
      <vt:lpstr>Brok3</vt:lpstr>
      <vt:lpstr>Brok4</vt:lpstr>
      <vt:lpstr>Commercial!FinancePeriod</vt:lpstr>
      <vt:lpstr>'Figures for JV'!FinancePeriod</vt:lpstr>
      <vt:lpstr>'Original (2)'!FinancePeriod</vt:lpstr>
      <vt:lpstr>FinancePeriod</vt:lpstr>
      <vt:lpstr>Commercial!Interest</vt:lpstr>
      <vt:lpstr>'Figures for JV'!Interest</vt:lpstr>
      <vt:lpstr>'Original (2)'!Interest</vt:lpstr>
      <vt:lpstr>Interest</vt:lpstr>
      <vt:lpstr>INTEREST1</vt:lpstr>
      <vt:lpstr>INTEREST2</vt:lpstr>
      <vt:lpstr>INTEREST3</vt:lpstr>
      <vt:lpstr>INTEREST4</vt:lpstr>
      <vt:lpstr>INTEREST5</vt:lpstr>
      <vt:lpstr>INTEREST6</vt:lpstr>
      <vt:lpstr>INTEREST7</vt:lpstr>
      <vt:lpstr>Commercial!Print_Area</vt:lpstr>
      <vt:lpstr>Consumer!Print_Area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dc:creator>
  <cp:lastModifiedBy>OPERATIONS</cp:lastModifiedBy>
  <cp:lastPrinted>2016-07-06T05:59:27Z</cp:lastPrinted>
  <dcterms:created xsi:type="dcterms:W3CDTF">2015-11-08T23:24:03Z</dcterms:created>
  <dcterms:modified xsi:type="dcterms:W3CDTF">2016-10-25T01:22:05Z</dcterms:modified>
</cp:coreProperties>
</file>